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_사업\00_KCN\05_24년사업_후보\00_24년 사업\2407_입찰서류 검토\결재\붙임3_입찰서류 1식\베트남 하남성 과업지시서 및 제안요청서\"/>
    </mc:Choice>
  </mc:AlternateContent>
  <bookViews>
    <workbookView xWindow="0" yWindow="0" windowWidth="28800" windowHeight="12285" tabRatio="652"/>
  </bookViews>
  <sheets>
    <sheet name="총괄(컨소)" sheetId="3" r:id="rId1"/>
    <sheet name="총괄(기술분야)" sheetId="16" r:id="rId2"/>
    <sheet name="세부내역(기술)" sheetId="15" r:id="rId3"/>
    <sheet name="총괄(건축)" sheetId="17" r:id="rId4"/>
    <sheet name="산출근거(건축)" sheetId="18" r:id="rId5"/>
    <sheet name="노무공수" sheetId="21" r:id="rId6"/>
    <sheet name="공무원 여비규정 국외여비" sheetId="22" r:id="rId7"/>
  </sheets>
  <externalReferences>
    <externalReference r:id="rId8"/>
    <externalReference r:id="rId9"/>
    <externalReference r:id="rId10"/>
  </externalReferences>
  <definedNames>
    <definedName name="_1" localSheetId="5">#REF!</definedName>
    <definedName name="_1">#REF!</definedName>
    <definedName name="_10">#N/A</definedName>
    <definedName name="_11">#REF!</definedName>
    <definedName name="_12">#REF!</definedName>
    <definedName name="_2">#N/A</definedName>
    <definedName name="_3">#N/A</definedName>
    <definedName name="_4">#N/A</definedName>
    <definedName name="_5">#N/A</definedName>
    <definedName name="_6">#N/A</definedName>
    <definedName name="_7">#N/A</definedName>
    <definedName name="_8">#N/A</definedName>
    <definedName name="_9">#REF!</definedName>
    <definedName name="_Fill" hidden="1">#REF!</definedName>
    <definedName name="_Key1" hidden="1">#REF!</definedName>
    <definedName name="_Order1" hidden="1">0</definedName>
    <definedName name="_Sort" hidden="1">#REF!</definedName>
    <definedName name="\a">#N/A</definedName>
    <definedName name="a">#REF!</definedName>
    <definedName name="B" localSheetId="5">[1]납기연기!#REF!</definedName>
    <definedName name="B">[1]납기연기!#REF!</definedName>
    <definedName name="BA" localSheetId="5">[2]운임!#REF!</definedName>
    <definedName name="BA">[2]운임!#REF!</definedName>
    <definedName name="BB" localSheetId="5">[2]운임!#REF!</definedName>
    <definedName name="BB">[2]운임!#REF!</definedName>
    <definedName name="h" localSheetId="5">#REF!</definedName>
    <definedName name="h">#REF!</definedName>
    <definedName name="_xlnm.Print_Area" localSheetId="5">노무공수!$A$1:$J$33</definedName>
    <definedName name="_xlnm.Print_Area" localSheetId="4">'산출근거(건축)'!$A$1:$D$43</definedName>
    <definedName name="_xlnm.Print_Area" localSheetId="2">'세부내역(기술)'!$A$1:$D$81</definedName>
    <definedName name="_xlnm.Print_Area" localSheetId="3">'총괄(건축)'!$A$1:$D$17</definedName>
    <definedName name="_xlnm.Print_Area" localSheetId="1">'총괄(기술분야)'!$A$1:$D$21</definedName>
    <definedName name="_xlnm.Print_Area" localSheetId="0">'총괄(컨소)'!$A$1:$C$83</definedName>
    <definedName name="_xlnm.Print_Titles" localSheetId="4">'산출근거(건축)'!$1:$3</definedName>
    <definedName name="_xlnm.Print_Titles" localSheetId="2">'세부내역(기술)'!$1:$2</definedName>
    <definedName name="v" localSheetId="5">#REF!</definedName>
    <definedName name="v">#REF!</definedName>
    <definedName name="가격">#REF!</definedName>
    <definedName name="갑지">#REF!</definedName>
    <definedName name="경비">#REF!</definedName>
    <definedName name="국외여비">[1]납기연기!#REF!</definedName>
    <definedName name="노" localSheetId="5">노무공수!$A$1:$B$37</definedName>
    <definedName name="노">#REF!</definedName>
    <definedName name="비축">[3]리스트!$A$4:$Y$25</definedName>
    <definedName name="운" localSheetId="5">#REF!</definedName>
    <definedName name="운">#REF!</definedName>
    <definedName name="운2" localSheetId="5">#REF!</definedName>
    <definedName name="운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5" l="1"/>
  <c r="D52" i="15"/>
  <c r="D25" i="15"/>
  <c r="C31" i="21"/>
  <c r="C30" i="21"/>
  <c r="C29" i="21"/>
  <c r="C28" i="21"/>
  <c r="A14" i="17" l="1"/>
  <c r="D35" i="18"/>
  <c r="B14" i="17" s="1"/>
  <c r="A11" i="17" l="1"/>
  <c r="A10" i="17"/>
  <c r="A16" i="17"/>
  <c r="A15" i="17"/>
  <c r="A13" i="17"/>
  <c r="A12" i="17"/>
  <c r="A9" i="17"/>
  <c r="A5" i="17"/>
  <c r="A20" i="16"/>
  <c r="A19" i="16"/>
  <c r="A17" i="16"/>
  <c r="A16" i="16"/>
  <c r="A9" i="16"/>
  <c r="A5" i="16"/>
  <c r="A15" i="16"/>
  <c r="A14" i="3" s="1"/>
  <c r="A14" i="16"/>
  <c r="A13" i="3" s="1"/>
  <c r="A13" i="16"/>
  <c r="A12" i="3" s="1"/>
  <c r="A18" i="16"/>
  <c r="A12" i="16"/>
  <c r="A11" i="3" s="1"/>
  <c r="A11" i="16"/>
  <c r="A10" i="3" s="1"/>
  <c r="A10" i="16"/>
  <c r="A9" i="3" s="1"/>
  <c r="D35" i="15"/>
  <c r="D36" i="15"/>
  <c r="D50" i="15"/>
  <c r="B14" i="16" s="1"/>
  <c r="B13" i="3" s="1"/>
  <c r="D34" i="15" l="1"/>
  <c r="C6" i="15"/>
  <c r="C7" i="15"/>
  <c r="C5" i="15"/>
  <c r="E30" i="21"/>
  <c r="E29" i="21"/>
  <c r="D30" i="21" l="1"/>
  <c r="D28" i="21"/>
  <c r="E28" i="21"/>
  <c r="D31" i="21"/>
  <c r="F31" i="21" s="1"/>
  <c r="G31" i="21" s="1"/>
  <c r="E31" i="21"/>
  <c r="F30" i="21"/>
  <c r="G30" i="21" s="1"/>
  <c r="D29" i="21"/>
  <c r="F29" i="21" s="1"/>
  <c r="G29" i="21" s="1"/>
  <c r="F28" i="21" l="1"/>
  <c r="G28" i="21" s="1"/>
  <c r="D29" i="15"/>
  <c r="I15" i="18" l="1"/>
  <c r="D19" i="15" l="1"/>
  <c r="D30" i="15" l="1"/>
  <c r="D42" i="15"/>
  <c r="C7" i="17"/>
  <c r="C8" i="17"/>
  <c r="C6" i="17"/>
  <c r="D28" i="15" l="1"/>
  <c r="B13" i="16"/>
  <c r="B12" i="3" s="1"/>
  <c r="D27" i="15" l="1"/>
  <c r="B12" i="16" s="1"/>
  <c r="B11" i="3" s="1"/>
  <c r="C7" i="16" l="1"/>
  <c r="C8" i="16"/>
  <c r="C6" i="16"/>
  <c r="H8" i="18"/>
  <c r="H7" i="18"/>
  <c r="H6" i="18"/>
  <c r="G6" i="15"/>
  <c r="G7" i="15"/>
  <c r="G5" i="15"/>
  <c r="I5" i="15" s="1"/>
  <c r="J19" i="18" l="1"/>
  <c r="D19" i="18" s="1"/>
  <c r="J18" i="18"/>
  <c r="D18" i="18" s="1"/>
  <c r="J17" i="18"/>
  <c r="D17" i="18" s="1"/>
  <c r="D15" i="18"/>
  <c r="J8" i="18"/>
  <c r="M8" i="18" s="1"/>
  <c r="D8" i="18" s="1"/>
  <c r="B8" i="17" s="1"/>
  <c r="J7" i="18"/>
  <c r="M7" i="18" s="1"/>
  <c r="D7" i="18" s="1"/>
  <c r="B7" i="17" s="1"/>
  <c r="J6" i="18"/>
  <c r="M6" i="18" s="1"/>
  <c r="D6" i="18" s="1"/>
  <c r="B6" i="17" s="1"/>
  <c r="D16" i="18" l="1"/>
  <c r="D14" i="18" s="1"/>
  <c r="B10" i="17" l="1"/>
  <c r="B9" i="17" s="1"/>
  <c r="D24" i="18"/>
  <c r="B11" i="17" s="1"/>
  <c r="D12" i="18" l="1"/>
  <c r="A2" i="18"/>
  <c r="A1" i="17"/>
  <c r="A1" i="15"/>
  <c r="A1" i="16" l="1"/>
  <c r="J28" i="18" l="1"/>
  <c r="D5" i="18"/>
  <c r="E43" i="18"/>
  <c r="D30" i="18" l="1"/>
  <c r="B5" i="17"/>
  <c r="B7" i="3" s="1"/>
  <c r="D33" i="18" l="1"/>
  <c r="D39" i="18" s="1"/>
  <c r="D71" i="15"/>
  <c r="J60" i="15"/>
  <c r="D61" i="15" s="1"/>
  <c r="J59" i="15"/>
  <c r="D60" i="15" s="1"/>
  <c r="J58" i="15"/>
  <c r="D59" i="15" s="1"/>
  <c r="D18" i="15"/>
  <c r="D17" i="15"/>
  <c r="D16" i="15"/>
  <c r="D14" i="15"/>
  <c r="I7" i="15"/>
  <c r="L7" i="15" s="1"/>
  <c r="D7" i="15" s="1"/>
  <c r="B8" i="16" s="1"/>
  <c r="I6" i="15"/>
  <c r="L6" i="15" s="1"/>
  <c r="D6" i="15" s="1"/>
  <c r="B7" i="16" s="1"/>
  <c r="L5" i="15"/>
  <c r="D5" i="15" s="1"/>
  <c r="B6" i="16" s="1"/>
  <c r="D56" i="15" l="1"/>
  <c r="B15" i="16" s="1"/>
  <c r="B14" i="3" s="1"/>
  <c r="D41" i="18"/>
  <c r="B18" i="16"/>
  <c r="B17" i="3" s="1"/>
  <c r="D15" i="15"/>
  <c r="D13" i="15" s="1"/>
  <c r="D24" i="15"/>
  <c r="B11" i="16" s="1"/>
  <c r="B10" i="3" s="1"/>
  <c r="D4" i="15"/>
  <c r="D11" i="15" l="1"/>
  <c r="B5" i="16"/>
  <c r="B10" i="16" l="1"/>
  <c r="B9" i="16" s="1"/>
  <c r="D66" i="15"/>
  <c r="B6" i="3"/>
  <c r="B5" i="3" s="1"/>
  <c r="E5" i="3"/>
  <c r="B9" i="3" l="1"/>
  <c r="B16" i="16"/>
  <c r="D69" i="15"/>
  <c r="D77" i="15" s="1"/>
  <c r="B8" i="3" l="1"/>
  <c r="B15" i="3" s="1"/>
  <c r="B17" i="16"/>
  <c r="B19" i="16"/>
  <c r="B16" i="3" l="1"/>
  <c r="B18" i="3" s="1"/>
  <c r="D79" i="15"/>
  <c r="D81" i="15" s="1"/>
  <c r="B19" i="3" l="1"/>
  <c r="B20" i="3" s="1"/>
  <c r="E85" i="15"/>
  <c r="F95" i="15" s="1"/>
  <c r="B20" i="16"/>
  <c r="B21" i="16"/>
  <c r="D15" i="3" l="1"/>
  <c r="D16" i="3"/>
  <c r="D9" i="3" l="1"/>
  <c r="D5" i="3"/>
  <c r="D11" i="3"/>
  <c r="D8" i="3"/>
  <c r="D12" i="3"/>
  <c r="D20" i="3"/>
  <c r="B13" i="17" l="1"/>
  <c r="E16" i="3" s="1"/>
  <c r="B12" i="17"/>
  <c r="E15" i="3" l="1"/>
  <c r="E8" i="3"/>
  <c r="B16" i="17"/>
  <c r="E19" i="3" s="1"/>
  <c r="B15" i="17"/>
  <c r="E18" i="3" s="1"/>
  <c r="D43" i="18" l="1"/>
  <c r="F43" i="18" s="1"/>
  <c r="B17" i="17" l="1"/>
  <c r="E20" i="3" s="1"/>
</calcChain>
</file>

<file path=xl/sharedStrings.xml><?xml version="1.0" encoding="utf-8"?>
<sst xmlns="http://schemas.openxmlformats.org/spreadsheetml/2006/main" count="276" uniqueCount="213">
  <si>
    <t>구   분</t>
  </si>
  <si>
    <t>금    액</t>
  </si>
  <si>
    <t xml:space="preserve">      합         계</t>
  </si>
  <si>
    <t>구   분</t>
    <phoneticPr fontId="10" type="noConversion"/>
  </si>
  <si>
    <t>금    액</t>
    <phoneticPr fontId="10" type="noConversion"/>
  </si>
  <si>
    <t>비    고</t>
    <phoneticPr fontId="10" type="noConversion"/>
  </si>
  <si>
    <t xml:space="preserve"> 인건비 및 직접경비의 5% 이내 적용</t>
    <phoneticPr fontId="10" type="noConversion"/>
  </si>
  <si>
    <t xml:space="preserve"> 인건비, 직접경비 및 일반관리비의 5% 이내 적용</t>
    <phoneticPr fontId="10" type="noConversion"/>
  </si>
  <si>
    <t xml:space="preserve"> 인건비 + 직접경비 + 일반관리비 + 이윤</t>
    <phoneticPr fontId="10" type="noConversion"/>
  </si>
  <si>
    <t xml:space="preserve"> 공급가액의 10%</t>
    <phoneticPr fontId="10" type="noConversion"/>
  </si>
  <si>
    <t xml:space="preserve">      합         계</t>
    <phoneticPr fontId="10" type="noConversion"/>
  </si>
  <si>
    <t xml:space="preserve"> 공급가액 + 부가가치세</t>
    <phoneticPr fontId="10" type="noConversion"/>
  </si>
  <si>
    <t xml:space="preserve"> 1. 인건비</t>
    <phoneticPr fontId="10" type="noConversion"/>
  </si>
  <si>
    <t>인  건  비  계</t>
    <phoneticPr fontId="10" type="noConversion"/>
  </si>
  <si>
    <t xml:space="preserve"> 2. 직접경비</t>
    <phoneticPr fontId="10" type="noConversion"/>
  </si>
  <si>
    <t xml:space="preserve">    o 항 공 료</t>
    <phoneticPr fontId="10" type="noConversion"/>
  </si>
  <si>
    <t xml:space="preserve">    o 체 재 비</t>
    <phoneticPr fontId="10" type="noConversion"/>
  </si>
  <si>
    <t xml:space="preserve">      - 일     비</t>
    <phoneticPr fontId="10" type="noConversion"/>
  </si>
  <si>
    <t xml:space="preserve">      - 숙 박 비</t>
    <phoneticPr fontId="10" type="noConversion"/>
  </si>
  <si>
    <t xml:space="preserve"> 4. 이      윤</t>
    <phoneticPr fontId="10" type="noConversion"/>
  </si>
  <si>
    <t xml:space="preserve">       총          계</t>
    <phoneticPr fontId="10" type="noConversion"/>
  </si>
  <si>
    <t>비고</t>
    <phoneticPr fontId="8" type="noConversion"/>
  </si>
  <si>
    <t xml:space="preserve">   o (기술분야)책임연구원</t>
    <phoneticPr fontId="10" type="noConversion"/>
  </si>
  <si>
    <t xml:space="preserve">   o (기술분야)연   구   원</t>
    <phoneticPr fontId="10" type="noConversion"/>
  </si>
  <si>
    <t xml:space="preserve">   o (기술분야)연구보조원</t>
    <phoneticPr fontId="10" type="noConversion"/>
  </si>
  <si>
    <t xml:space="preserve">      - 식     비</t>
  </si>
  <si>
    <t xml:space="preserve">      - 시내교통비</t>
    <phoneticPr fontId="10" type="noConversion"/>
  </si>
  <si>
    <t xml:space="preserve"> 부가세 포함, 백원이하 절사</t>
    <phoneticPr fontId="10" type="noConversion"/>
  </si>
  <si>
    <t/>
  </si>
  <si>
    <t>과업기간(월)</t>
    <phoneticPr fontId="10" type="noConversion"/>
  </si>
  <si>
    <t>기술분야</t>
    <phoneticPr fontId="10" type="noConversion"/>
  </si>
  <si>
    <t>인건비</t>
    <phoneticPr fontId="10" type="noConversion"/>
  </si>
  <si>
    <t>할증</t>
    <phoneticPr fontId="10" type="noConversion"/>
  </si>
  <si>
    <t>적용인건비</t>
    <phoneticPr fontId="10" type="noConversion"/>
  </si>
  <si>
    <t>인원</t>
    <phoneticPr fontId="10" type="noConversion"/>
  </si>
  <si>
    <t>참여율</t>
    <phoneticPr fontId="10" type="noConversion"/>
  </si>
  <si>
    <t>금액</t>
    <phoneticPr fontId="10" type="noConversion"/>
  </si>
  <si>
    <t>책임연구원</t>
    <phoneticPr fontId="10" type="noConversion"/>
  </si>
  <si>
    <t>연구원</t>
    <phoneticPr fontId="10" type="noConversion"/>
  </si>
  <si>
    <t>연구보조원</t>
    <phoneticPr fontId="10" type="noConversion"/>
  </si>
  <si>
    <t>환율(USD/KRW)</t>
    <phoneticPr fontId="8" type="noConversion"/>
  </si>
  <si>
    <t>인원</t>
    <phoneticPr fontId="8" type="noConversion"/>
  </si>
  <si>
    <t>출장일수</t>
    <phoneticPr fontId="8" type="noConversion"/>
  </si>
  <si>
    <t>단가</t>
    <phoneticPr fontId="8" type="noConversion"/>
  </si>
  <si>
    <t>항공료</t>
    <phoneticPr fontId="8" type="noConversion"/>
  </si>
  <si>
    <t>환율</t>
    <phoneticPr fontId="8" type="noConversion"/>
  </si>
  <si>
    <t>일비</t>
    <phoneticPr fontId="10" type="noConversion"/>
  </si>
  <si>
    <t>숙박비</t>
    <phoneticPr fontId="10" type="noConversion"/>
  </si>
  <si>
    <t>식비</t>
    <phoneticPr fontId="10" type="noConversion"/>
  </si>
  <si>
    <t>부수</t>
    <phoneticPr fontId="10" type="noConversion"/>
  </si>
  <si>
    <t>면수</t>
    <phoneticPr fontId="10" type="noConversion"/>
  </si>
  <si>
    <t>단가</t>
    <phoneticPr fontId="10" type="noConversion"/>
  </si>
  <si>
    <t xml:space="preserve">    o 최종보고서 인쇄비</t>
    <phoneticPr fontId="10" type="noConversion"/>
  </si>
  <si>
    <t xml:space="preserve"> 인건비 및 직접경비의 5% 이내 적용</t>
    <phoneticPr fontId="10" type="noConversion"/>
  </si>
  <si>
    <t xml:space="preserve"> 공급가액 + 부가가치세</t>
    <phoneticPr fontId="10" type="noConversion"/>
  </si>
  <si>
    <t xml:space="preserve"> 공급가액의 10%</t>
    <phoneticPr fontId="10" type="noConversion"/>
  </si>
  <si>
    <t xml:space="preserve"> 인건비 + 직접경비 + 일반관리비 + 이윤</t>
    <phoneticPr fontId="10" type="noConversion"/>
  </si>
  <si>
    <t>비고</t>
    <phoneticPr fontId="8" type="noConversion"/>
  </si>
  <si>
    <t xml:space="preserve">       총          계</t>
    <phoneticPr fontId="10" type="noConversion"/>
  </si>
  <si>
    <t xml:space="preserve"> 인건비 + 직접경비 + 일반관리비 + 이윤</t>
    <phoneticPr fontId="8" type="noConversion"/>
  </si>
  <si>
    <t xml:space="preserve"> 인건비, 직접경비 및 일반관리비의 5% 적용</t>
    <phoneticPr fontId="8" type="noConversion"/>
  </si>
  <si>
    <t xml:space="preserve">      - 이       윤</t>
    <phoneticPr fontId="10" type="noConversion"/>
  </si>
  <si>
    <t xml:space="preserve"> 4. 이      윤</t>
    <phoneticPr fontId="10" type="noConversion"/>
  </si>
  <si>
    <t xml:space="preserve"> 인건비 및 직접경비의 5% 이내 적용</t>
    <phoneticPr fontId="8" type="noConversion"/>
  </si>
  <si>
    <t xml:space="preserve">      - 일반관리비</t>
    <phoneticPr fontId="10" type="noConversion"/>
  </si>
  <si>
    <t xml:space="preserve"> 3. 일반관리비</t>
    <phoneticPr fontId="10" type="noConversion"/>
  </si>
  <si>
    <t>2인 * 5회 * 30,000원</t>
    <phoneticPr fontId="8" type="noConversion"/>
  </si>
  <si>
    <t xml:space="preserve">      - 시내.외 교통비</t>
    <phoneticPr fontId="10" type="noConversion"/>
  </si>
  <si>
    <t xml:space="preserve">    o 교통비</t>
    <phoneticPr fontId="10" type="noConversion"/>
  </si>
  <si>
    <t xml:space="preserve">    * 기획재정부 "예정가격작성기준" 제26조 및 별표5에 따른 기준단가 적용  </t>
    <phoneticPr fontId="10" type="noConversion"/>
  </si>
  <si>
    <t xml:space="preserve">   o (재무분야)연구보조원</t>
    <phoneticPr fontId="10" type="noConversion"/>
  </si>
  <si>
    <t xml:space="preserve">   o (재무분야)연   구   원</t>
    <phoneticPr fontId="10" type="noConversion"/>
  </si>
  <si>
    <t xml:space="preserve">   o (재무분야)책임연구원</t>
    <phoneticPr fontId="10" type="noConversion"/>
  </si>
  <si>
    <t>인  건  비  계</t>
    <phoneticPr fontId="10" type="noConversion"/>
  </si>
  <si>
    <t xml:space="preserve">   o (재무분야)책임연구원</t>
  </si>
  <si>
    <t xml:space="preserve">   o (재무분야)연   구   원</t>
  </si>
  <si>
    <t xml:space="preserve">   o (재무분야)연구보조원</t>
  </si>
  <si>
    <t xml:space="preserve">   o (기술분야)연   구   원</t>
  </si>
  <si>
    <t xml:space="preserve">   o (기술분야)연구보조원</t>
  </si>
  <si>
    <t xml:space="preserve">      - 전문가활용비</t>
  </si>
  <si>
    <t>국내출장(교통비 등)</t>
    <phoneticPr fontId="8" type="noConversion"/>
  </si>
  <si>
    <t xml:space="preserve"> 인쇄비, 제본비 등</t>
  </si>
  <si>
    <t xml:space="preserve">      - 외빈초청경비</t>
  </si>
  <si>
    <t>강사료, 통역비</t>
  </si>
  <si>
    <t xml:space="preserve">      - 임차료</t>
  </si>
  <si>
    <t xml:space="preserve">      - 회의비</t>
  </si>
  <si>
    <t>대관료, 장비대여료</t>
  </si>
  <si>
    <t>만찬 등</t>
  </si>
  <si>
    <t xml:space="preserve">      - 수용비</t>
  </si>
  <si>
    <t>인쇄비</t>
  </si>
  <si>
    <t>통역비</t>
  </si>
  <si>
    <t xml:space="preserve"> 재무(부동산 시장조사), 기술(스마트시티 개발전략, 조감도 작성) 등</t>
    <phoneticPr fontId="10" type="noConversion"/>
  </si>
  <si>
    <t>국외출장(항공료, 체재비, 교통비 등)</t>
    <phoneticPr fontId="10" type="noConversion"/>
  </si>
  <si>
    <t>국외출장(항공료, 체재비, 교통비 등)</t>
    <phoneticPr fontId="10" type="noConversion"/>
  </si>
  <si>
    <t xml:space="preserve"> 회의비, 임차료, 수수료, 통역비, 번역비 등</t>
    <phoneticPr fontId="8" type="noConversion"/>
  </si>
  <si>
    <t>[총괄표]</t>
    <phoneticPr fontId="8" type="noConversion"/>
  </si>
  <si>
    <t>출장횟수</t>
    <phoneticPr fontId="8" type="noConversion"/>
  </si>
  <si>
    <t>책임연구원</t>
    <phoneticPr fontId="46" type="noConversion"/>
  </si>
  <si>
    <t>□ 참여 인력 노임단가 기준</t>
    <phoneticPr fontId="10" type="noConversion"/>
  </si>
  <si>
    <t xml:space="preserve"> </t>
  </si>
  <si>
    <t>구분</t>
    <phoneticPr fontId="46" type="noConversion"/>
  </si>
  <si>
    <t>퇴직급여충당금</t>
    <phoneticPr fontId="47" type="noConversion"/>
  </si>
  <si>
    <t>숙박비</t>
    <phoneticPr fontId="8" type="noConversion"/>
  </si>
  <si>
    <t xml:space="preserve"> 외빈초청경비, 전문가활용비, 임차료 등</t>
    <phoneticPr fontId="8" type="noConversion"/>
  </si>
  <si>
    <t>우편발송, 현지 출장시 로밍비용 등</t>
    <phoneticPr fontId="8" type="noConversion"/>
  </si>
  <si>
    <t xml:space="preserve">   가) 국외여비 (현지조사비)</t>
    <phoneticPr fontId="10" type="noConversion"/>
  </si>
  <si>
    <t xml:space="preserve">   나) 국내여비</t>
    <phoneticPr fontId="10" type="noConversion"/>
  </si>
  <si>
    <t xml:space="preserve"> 공급가액의 10%</t>
    <phoneticPr fontId="8" type="noConversion"/>
  </si>
  <si>
    <t xml:space="preserve">   가) 국외여비 (현지조사비)</t>
    <phoneticPr fontId="10" type="noConversion"/>
  </si>
  <si>
    <t xml:space="preserve">   나) 국내여비 </t>
    <phoneticPr fontId="10" type="noConversion"/>
  </si>
  <si>
    <t xml:space="preserve">    o 회계정산보고서(회계법인 검토)</t>
    <phoneticPr fontId="10" type="noConversion"/>
  </si>
  <si>
    <t>1식</t>
    <phoneticPr fontId="10" type="noConversion"/>
  </si>
  <si>
    <t>기타경비</t>
    <phoneticPr fontId="10" type="noConversion"/>
  </si>
  <si>
    <t xml:space="preserve">      - 식     비</t>
    <phoneticPr fontId="10" type="noConversion"/>
  </si>
  <si>
    <t xml:space="preserve">      - 기타 출장지원경비(렌트 등)</t>
    <phoneticPr fontId="10" type="noConversion"/>
  </si>
  <si>
    <t xml:space="preserve">     </t>
    <phoneticPr fontId="10" type="noConversion"/>
  </si>
  <si>
    <t>학술연구용역 인건비단가기준</t>
    <phoneticPr fontId="46" type="noConversion"/>
  </si>
  <si>
    <t>기본급(100%기준)</t>
    <phoneticPr fontId="46" type="noConversion"/>
  </si>
  <si>
    <t>상여금(400%)</t>
    <phoneticPr fontId="46" type="noConversion"/>
  </si>
  <si>
    <t>합    계</t>
    <phoneticPr fontId="47" type="noConversion"/>
  </si>
  <si>
    <t>일일단가</t>
    <phoneticPr fontId="46" type="noConversion"/>
  </si>
  <si>
    <t>연구원</t>
    <phoneticPr fontId="46" type="noConversion"/>
  </si>
  <si>
    <t>연구보조원</t>
    <phoneticPr fontId="46" type="noConversion"/>
  </si>
  <si>
    <t>보조원</t>
    <phoneticPr fontId="46" type="noConversion"/>
  </si>
  <si>
    <t xml:space="preserve">      각 연구원 단가는 노무공수탭에서 상여금 400%, 퇴직급여 100% 반영</t>
    <phoneticPr fontId="10" type="noConversion"/>
  </si>
  <si>
    <t xml:space="preserve">   바) 회의비</t>
    <phoneticPr fontId="10" type="noConversion"/>
  </si>
  <si>
    <t xml:space="preserve">    o 회의비</t>
    <phoneticPr fontId="10" type="noConversion"/>
  </si>
  <si>
    <t>대관 등</t>
    <phoneticPr fontId="10" type="noConversion"/>
  </si>
  <si>
    <t xml:space="preserve">    o 보고회 진행경비</t>
    <phoneticPr fontId="10" type="noConversion"/>
  </si>
  <si>
    <t>경인쇄, 16절, 10부 300면 기준 (지분율 50%)</t>
    <phoneticPr fontId="10" type="noConversion"/>
  </si>
  <si>
    <t>경인쇄, 16절, 50부 300면 기준 (지분율 50%)</t>
    <phoneticPr fontId="10" type="noConversion"/>
  </si>
  <si>
    <t xml:space="preserve">최종보고서 및 요약보고서 번역 </t>
    <phoneticPr fontId="10" type="noConversion"/>
  </si>
  <si>
    <t xml:space="preserve">    o 요약보고서 인쇄비</t>
    <phoneticPr fontId="10" type="noConversion"/>
  </si>
  <si>
    <t>경인쇄, 16절, 20부 50면 기준 (지분율 50%)</t>
    <phoneticPr fontId="10" type="noConversion"/>
  </si>
  <si>
    <t xml:space="preserve">    o 보고서 번역비</t>
    <phoneticPr fontId="10" type="noConversion"/>
  </si>
  <si>
    <t xml:space="preserve">    o 중간보고서 인쇄비</t>
    <phoneticPr fontId="10" type="noConversion"/>
  </si>
  <si>
    <t xml:space="preserve">    o 예비비</t>
    <phoneticPr fontId="10" type="noConversion"/>
  </si>
  <si>
    <r>
      <t xml:space="preserve">    o 공공요금</t>
    </r>
    <r>
      <rPr>
        <sz val="8"/>
        <rFont val="돋움"/>
        <family val="3"/>
        <charset val="129"/>
      </rPr>
      <t>(우편발송료 등)</t>
    </r>
    <phoneticPr fontId="10" type="noConversion"/>
  </si>
  <si>
    <t>보험료, (추가)자문비, (추가)회의비, 번역비 등</t>
    <phoneticPr fontId="8" type="noConversion"/>
  </si>
  <si>
    <t>여비</t>
    <phoneticPr fontId="10" type="noConversion"/>
  </si>
  <si>
    <t>오.만찬 등</t>
    <phoneticPr fontId="10" type="noConversion"/>
  </si>
  <si>
    <t xml:space="preserve">    * 기획재정부 "예정가격작성기준" 제26조 및 별표5에 따른 기준단가 적용  </t>
    <phoneticPr fontId="10" type="noConversion"/>
  </si>
  <si>
    <t xml:space="preserve">    ※ 필요시, 국내 외빈초청경비-현지워크샵 연계하여 전용예정 (사전협의예정)</t>
    <phoneticPr fontId="10" type="noConversion"/>
  </si>
  <si>
    <t>번역비, 인쇄비 등</t>
    <phoneticPr fontId="8" type="noConversion"/>
  </si>
  <si>
    <t xml:space="preserve">   사) 유인물 및 교통통신비</t>
    <phoneticPr fontId="10" type="noConversion"/>
  </si>
  <si>
    <t xml:space="preserve">   다) 초청연수</t>
    <phoneticPr fontId="10" type="noConversion"/>
  </si>
  <si>
    <t xml:space="preserve">    o 초청연수_1</t>
    <phoneticPr fontId="10" type="noConversion"/>
  </si>
  <si>
    <t>회의장 등</t>
    <phoneticPr fontId="10" type="noConversion"/>
  </si>
  <si>
    <t xml:space="preserve">    o 초청연수_2</t>
    <phoneticPr fontId="10" type="noConversion"/>
  </si>
  <si>
    <t>국외출장(항공료, 체재비, 교통비 등)</t>
    <phoneticPr fontId="8" type="noConversion"/>
  </si>
  <si>
    <t>국내출장(교통비)</t>
    <phoneticPr fontId="8" type="noConversion"/>
  </si>
  <si>
    <t>1. 인건비</t>
    <phoneticPr fontId="8" type="noConversion"/>
  </si>
  <si>
    <t>2. 직접경비</t>
    <phoneticPr fontId="10" type="noConversion"/>
  </si>
  <si>
    <t>3. 일반관리비</t>
    <phoneticPr fontId="10" type="noConversion"/>
  </si>
  <si>
    <t xml:space="preserve"> 5. 외부용역비 (업무위탁)</t>
    <phoneticPr fontId="10" type="noConversion"/>
  </si>
  <si>
    <t xml:space="preserve">      - 이       윤</t>
    <phoneticPr fontId="10" type="noConversion"/>
  </si>
  <si>
    <t xml:space="preserve">      - 조감도 작성</t>
    <phoneticPr fontId="10" type="noConversion"/>
  </si>
  <si>
    <t xml:space="preserve">    o 외주비</t>
    <phoneticPr fontId="10" type="noConversion"/>
  </si>
  <si>
    <t xml:space="preserve"> 6. 공급가액</t>
    <phoneticPr fontId="10" type="noConversion"/>
  </si>
  <si>
    <t xml:space="preserve"> 7. 부가가치세</t>
    <phoneticPr fontId="10" type="noConversion"/>
  </si>
  <si>
    <t xml:space="preserve"> 6. 공급가액</t>
    <phoneticPr fontId="10" type="noConversion"/>
  </si>
  <si>
    <t>6. 공급가액</t>
    <phoneticPr fontId="10" type="noConversion"/>
  </si>
  <si>
    <t>7. 부가가치세</t>
    <phoneticPr fontId="10" type="noConversion"/>
  </si>
  <si>
    <t xml:space="preserve"> 5. 외부용역비 (업무위탁)</t>
    <phoneticPr fontId="10" type="noConversion"/>
  </si>
  <si>
    <t>4. 이윤</t>
    <phoneticPr fontId="10" type="noConversion"/>
  </si>
  <si>
    <t>5. 외부용역비 (업무위탁)</t>
    <phoneticPr fontId="10" type="noConversion"/>
  </si>
  <si>
    <t xml:space="preserve"> 현지활동 지원비_워크숍</t>
    <phoneticPr fontId="10" type="noConversion"/>
  </si>
  <si>
    <t xml:space="preserve">   마) 현지활동 지원비_워크숍</t>
    <phoneticPr fontId="10" type="noConversion"/>
  </si>
  <si>
    <t xml:space="preserve">    o 현지활동지원비 (현지워크숍)</t>
    <phoneticPr fontId="10" type="noConversion"/>
  </si>
  <si>
    <t xml:space="preserve">    o 전문가 자문 활용비</t>
    <phoneticPr fontId="10" type="noConversion"/>
  </si>
  <si>
    <t xml:space="preserve">    o 전문가활용비(통역)</t>
    <phoneticPr fontId="10" type="noConversion"/>
  </si>
  <si>
    <t>통역비</t>
    <phoneticPr fontId="8" type="noConversion"/>
  </si>
  <si>
    <t xml:space="preserve"> 인건비 + 직접경비 + 일반관리비 + 이윤 + 외부용역비</t>
    <phoneticPr fontId="10" type="noConversion"/>
  </si>
  <si>
    <t xml:space="preserve">    - 기획재정부 (계약예규) 예정가격작성기준 [별표 5] 학술연구용역인건비기준단가('24년)</t>
    <phoneticPr fontId="10" type="noConversion"/>
  </si>
  <si>
    <t>보고 및 현지조사, 5박6일, 라 등급, 3회</t>
    <phoneticPr fontId="10" type="noConversion"/>
  </si>
  <si>
    <t xml:space="preserve">    * 항공료: 대한항공 평균운임 적용(직항)</t>
    <phoneticPr fontId="10" type="noConversion"/>
  </si>
  <si>
    <t xml:space="preserve">    * 체재비: 공무원 여비 규정(2021.05.25 개정) 적용. 숙박비는 정액(상한액의 50%, 달러)적용 / 국가등급 라등급(베트남) 적용</t>
    <phoneticPr fontId="10" type="noConversion"/>
  </si>
  <si>
    <t xml:space="preserve"> 5인 * 10회 * 30,000원</t>
    <phoneticPr fontId="10" type="noConversion"/>
  </si>
  <si>
    <t>3인*2회*400,000원</t>
    <phoneticPr fontId="8" type="noConversion"/>
  </si>
  <si>
    <t>6인 *30,000원 * 10회</t>
    <phoneticPr fontId="10" type="noConversion"/>
  </si>
  <si>
    <t xml:space="preserve">      - 베트남 현지 조사</t>
    <phoneticPr fontId="10" type="noConversion"/>
  </si>
  <si>
    <t xml:space="preserve">      - 홍보 동영상</t>
    <phoneticPr fontId="10" type="noConversion"/>
  </si>
  <si>
    <t xml:space="preserve"> 홍보영상, 스팟영상</t>
    <phoneticPr fontId="10" type="noConversion"/>
  </si>
  <si>
    <t xml:space="preserve"> 3컷 기준</t>
    <phoneticPr fontId="8" type="noConversion"/>
  </si>
  <si>
    <t>현지조사, 5박6일, 라 등급, 2회</t>
    <phoneticPr fontId="10" type="noConversion"/>
  </si>
  <si>
    <t>2인 * 2회 * 1,000,000원(왕복)</t>
    <phoneticPr fontId="10" type="noConversion"/>
  </si>
  <si>
    <t>2인 * 6일 * 30USD * 환율 1,290원 * 2회</t>
    <phoneticPr fontId="10" type="noConversion"/>
  </si>
  <si>
    <t>2인 * 5박 * 106USD * 환율 1,290원 * 2회</t>
    <phoneticPr fontId="10" type="noConversion"/>
  </si>
  <si>
    <t>2인 * 6일 * 44USD * 환율 1,290원 * 2회</t>
    <phoneticPr fontId="10" type="noConversion"/>
  </si>
  <si>
    <t xml:space="preserve">    * 환율 2024년 기재부 편성환율 적용 USD = 1,300</t>
    <phoneticPr fontId="10" type="noConversion"/>
  </si>
  <si>
    <t xml:space="preserve"> 4인·8월 * 7,870,291원/월, 참여율 50%</t>
    <phoneticPr fontId="10" type="noConversion"/>
  </si>
  <si>
    <t xml:space="preserve"> 1인·6월 * 10,263,990원/월, 참여율20%</t>
    <phoneticPr fontId="10" type="noConversion"/>
  </si>
  <si>
    <t xml:space="preserve"> 1인·6월 * 7,870,291원/월, 참여율30%</t>
    <phoneticPr fontId="10" type="noConversion"/>
  </si>
  <si>
    <t xml:space="preserve"> 1인·6월 * 5,261,024원/월, 참여율20%</t>
    <phoneticPr fontId="10" type="noConversion"/>
  </si>
  <si>
    <t xml:space="preserve">    * 환율 2024년 기재부 편성환율 적용 USD = 1,300</t>
    <phoneticPr fontId="10" type="noConversion"/>
  </si>
  <si>
    <t>□ 사업명: 2024 K-City Network 베트남 하남성 홍강 주변지역 스마트시티 개발계획 수립</t>
    <phoneticPr fontId="10" type="noConversion"/>
  </si>
  <si>
    <t xml:space="preserve">   - 건축분야</t>
    <phoneticPr fontId="10" type="noConversion"/>
  </si>
  <si>
    <t xml:space="preserve">   - 도시, 스마트도시</t>
    <phoneticPr fontId="10" type="noConversion"/>
  </si>
  <si>
    <t xml:space="preserve">   o (건축분야)책임연구원   1인·6월   참여율 20.0%
   o (건축분야)연   구   원  1인·6월   참여율 30.0%
   o (건축분야)연구보조원   1인·6월   참여율 20.0%</t>
    <phoneticPr fontId="8" type="noConversion"/>
  </si>
  <si>
    <t xml:space="preserve">      - 타당성 검토(재무, 경제)</t>
    <phoneticPr fontId="10" type="noConversion"/>
  </si>
  <si>
    <t xml:space="preserve"> 재무적 타당성, 경제적 타당성 검토</t>
    <phoneticPr fontId="10" type="noConversion"/>
  </si>
  <si>
    <t>현지조사, 타당성검토, 홍보동영상, 조감도 등</t>
    <phoneticPr fontId="10" type="noConversion"/>
  </si>
  <si>
    <t xml:space="preserve"> 도시 기초자료, 부동산시장, 인프라 현황 등 </t>
    <phoneticPr fontId="10" type="noConversion"/>
  </si>
  <si>
    <t xml:space="preserve"> 3인·8월 * 10,263,990원/월, 참여율 30%</t>
    <phoneticPr fontId="10" type="noConversion"/>
  </si>
  <si>
    <t xml:space="preserve"> 5인·8월 * 5,261,024원/월, 참여율 40%</t>
    <phoneticPr fontId="10" type="noConversion"/>
  </si>
  <si>
    <t>6인 * 3회 * 1,000,000원(왕복)</t>
    <phoneticPr fontId="10" type="noConversion"/>
  </si>
  <si>
    <t>6인 * 6일 * 30USD * 환율 1,290원 * 3회</t>
    <phoneticPr fontId="10" type="noConversion"/>
  </si>
  <si>
    <t>6인 * 5박 * 106USD * 환율 1,290원 * 3회</t>
    <phoneticPr fontId="10" type="noConversion"/>
  </si>
  <si>
    <t>6인 * 6일 * 44USD * 환율 1,290원 * 3회</t>
    <phoneticPr fontId="10" type="noConversion"/>
  </si>
  <si>
    <t>6일 * 3회 * 250USD</t>
    <phoneticPr fontId="10" type="noConversion"/>
  </si>
  <si>
    <t xml:space="preserve">   o (기술분야)책임연구원</t>
    <phoneticPr fontId="8" type="noConversion"/>
  </si>
  <si>
    <t xml:space="preserve">   o (도시, 스마트도시 분야)책임연구원   3인·8월  참여율 30.0%
   o (도시, 스마트도시 분야)연   구   원  4인·8월  참여율 50.0%
   o (도시, 스마트도시 분야)연구보조원   5인·8월  참여율 40.0%</t>
    <phoneticPr fontId="8" type="noConversion"/>
  </si>
  <si>
    <t xml:space="preserve"> 십만원이하 절사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</si>
</sst>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#,##0_);\(#,##0\)"/>
    <numFmt numFmtId="179" formatCode="#&quot;인&quot;"/>
    <numFmt numFmtId="180" formatCode="###,###,###&quot;원&quot;"/>
    <numFmt numFmtId="181" formatCode="_-* #,##0.0_-;\-* #,##0.0_-;_-* &quot;-&quot;_-;_-@_-"/>
    <numFmt numFmtId="182" formatCode="0.0000_);[Red]\(0.0000\)"/>
    <numFmt numFmtId="183" formatCode="_-* #,##0.00_-;\-* #,##0.00_-;_-* &quot;-&quot;_-;_-@_-"/>
  </numFmts>
  <fonts count="5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b/>
      <sz val="14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3"/>
      <name val="돋움"/>
      <family val="3"/>
      <charset val="129"/>
    </font>
    <font>
      <sz val="11"/>
      <color rgb="FF0070C0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ajor"/>
    </font>
    <font>
      <sz val="8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name val="Arial"/>
      <family val="2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10.5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rgb="FF0000FF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color rgb="FFC0000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1"/>
      <color rgb="FF0000FF"/>
      <name val="돋움"/>
      <family val="3"/>
      <charset val="129"/>
    </font>
    <font>
      <sz val="11"/>
      <color rgb="FF0000FF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8"/>
      <name val="돋움"/>
      <family val="3"/>
      <charset val="129"/>
    </font>
    <font>
      <sz val="12"/>
      <name val="굴림체"/>
      <family val="3"/>
      <charset val="129"/>
    </font>
    <font>
      <b/>
      <sz val="20"/>
      <name val="돋움체"/>
      <family val="3"/>
      <charset val="129"/>
    </font>
    <font>
      <sz val="8"/>
      <name val="굴림체"/>
      <family val="3"/>
      <charset val="129"/>
    </font>
    <font>
      <sz val="12"/>
      <name val="바탕체"/>
      <family val="1"/>
      <charset val="129"/>
    </font>
    <font>
      <sz val="9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2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41" fontId="48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31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0" xfId="0" applyFill="1">
      <alignment vertical="center"/>
    </xf>
    <xf numFmtId="0" fontId="2" fillId="0" borderId="0" xfId="1" applyFill="1">
      <alignment vertical="center"/>
    </xf>
    <xf numFmtId="178" fontId="11" fillId="2" borderId="0" xfId="0" applyNumberFormat="1" applyFont="1" applyFill="1">
      <alignment vertical="center"/>
    </xf>
    <xf numFmtId="10" fontId="11" fillId="2" borderId="0" xfId="10" applyNumberFormat="1" applyFont="1" applyFill="1">
      <alignment vertical="center"/>
    </xf>
    <xf numFmtId="178" fontId="12" fillId="2" borderId="0" xfId="0" applyNumberFormat="1" applyFont="1" applyFill="1">
      <alignment vertical="center"/>
    </xf>
    <xf numFmtId="41" fontId="11" fillId="2" borderId="0" xfId="0" applyNumberFormat="1" applyFont="1" applyFill="1">
      <alignment vertical="center"/>
    </xf>
    <xf numFmtId="0" fontId="2" fillId="0" borderId="18" xfId="1" applyFill="1" applyBorder="1" applyAlignment="1">
      <alignment horizontal="center" vertical="center"/>
    </xf>
    <xf numFmtId="0" fontId="2" fillId="0" borderId="17" xfId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7" fillId="0" borderId="3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5" xfId="0" applyFont="1" applyBorder="1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41" fontId="5" fillId="0" borderId="0" xfId="2" applyFont="1" applyFill="1">
      <alignment vertical="center"/>
    </xf>
    <xf numFmtId="41" fontId="2" fillId="0" borderId="0" xfId="1" applyNumberFormat="1">
      <alignment vertical="center"/>
    </xf>
    <xf numFmtId="0" fontId="4" fillId="0" borderId="0" xfId="1" applyFont="1">
      <alignment vertical="center"/>
    </xf>
    <xf numFmtId="41" fontId="6" fillId="0" borderId="0" xfId="2" applyFont="1" applyFill="1">
      <alignment vertical="center"/>
    </xf>
    <xf numFmtId="41" fontId="0" fillId="0" borderId="0" xfId="2" applyFont="1" applyFill="1">
      <alignment vertical="center"/>
    </xf>
    <xf numFmtId="0" fontId="4" fillId="0" borderId="0" xfId="1" applyFont="1" applyAlignment="1">
      <alignment horizontal="left" vertical="center" indent="1"/>
    </xf>
    <xf numFmtId="41" fontId="3" fillId="0" borderId="0" xfId="2" applyFont="1" applyFill="1">
      <alignment vertical="center"/>
    </xf>
    <xf numFmtId="0" fontId="7" fillId="0" borderId="0" xfId="1" applyFont="1">
      <alignment vertical="center"/>
    </xf>
    <xf numFmtId="41" fontId="7" fillId="0" borderId="0" xfId="2" applyFont="1" applyFill="1">
      <alignment vertical="center"/>
    </xf>
    <xf numFmtId="0" fontId="2" fillId="0" borderId="15" xfId="1" applyBorder="1">
      <alignment vertical="center"/>
    </xf>
    <xf numFmtId="0" fontId="2" fillId="0" borderId="16" xfId="1" applyBorder="1">
      <alignment vertical="center"/>
    </xf>
    <xf numFmtId="41" fontId="3" fillId="0" borderId="25" xfId="2" applyFont="1" applyFill="1" applyBorder="1">
      <alignment vertical="center"/>
    </xf>
    <xf numFmtId="9" fontId="2" fillId="0" borderId="0" xfId="1" applyNumberFormat="1">
      <alignment vertical="center"/>
    </xf>
    <xf numFmtId="176" fontId="3" fillId="0" borderId="0" xfId="2" applyNumberFormat="1" applyFont="1" applyFill="1">
      <alignment vertical="center"/>
    </xf>
    <xf numFmtId="41" fontId="4" fillId="0" borderId="0" xfId="2" applyFont="1" applyFill="1">
      <alignment vertical="center"/>
    </xf>
    <xf numFmtId="41" fontId="19" fillId="0" borderId="10" xfId="0" applyNumberFormat="1" applyFont="1" applyBorder="1">
      <alignment vertical="center"/>
    </xf>
    <xf numFmtId="0" fontId="19" fillId="0" borderId="3" xfId="0" applyFont="1" applyBorder="1">
      <alignment vertical="center"/>
    </xf>
    <xf numFmtId="41" fontId="17" fillId="0" borderId="10" xfId="0" applyNumberFormat="1" applyFont="1" applyBorder="1">
      <alignment vertical="center"/>
    </xf>
    <xf numFmtId="41" fontId="19" fillId="0" borderId="11" xfId="0" applyNumberFormat="1" applyFont="1" applyBorder="1">
      <alignment vertical="center"/>
    </xf>
    <xf numFmtId="41" fontId="19" fillId="0" borderId="12" xfId="2" applyFont="1" applyBorder="1">
      <alignment vertical="center"/>
    </xf>
    <xf numFmtId="41" fontId="24" fillId="0" borderId="10" xfId="0" applyNumberFormat="1" applyFont="1" applyBorder="1">
      <alignment vertical="center"/>
    </xf>
    <xf numFmtId="0" fontId="25" fillId="0" borderId="3" xfId="0" applyFont="1" applyBorder="1">
      <alignment vertical="center"/>
    </xf>
    <xf numFmtId="41" fontId="9" fillId="0" borderId="10" xfId="0" applyNumberFormat="1" applyFont="1" applyBorder="1">
      <alignment vertical="center"/>
    </xf>
    <xf numFmtId="41" fontId="26" fillId="0" borderId="10" xfId="0" applyNumberFormat="1" applyFont="1" applyBorder="1">
      <alignment vertical="center"/>
    </xf>
    <xf numFmtId="41" fontId="24" fillId="0" borderId="12" xfId="0" applyNumberFormat="1" applyFont="1" applyBorder="1">
      <alignment vertical="center"/>
    </xf>
    <xf numFmtId="0" fontId="9" fillId="3" borderId="2" xfId="0" applyFont="1" applyFill="1" applyBorder="1">
      <alignment vertical="center"/>
    </xf>
    <xf numFmtId="0" fontId="28" fillId="0" borderId="3" xfId="0" applyFont="1" applyBorder="1">
      <alignment vertical="center"/>
    </xf>
    <xf numFmtId="0" fontId="29" fillId="0" borderId="3" xfId="0" applyFont="1" applyBorder="1">
      <alignment vertical="center"/>
    </xf>
    <xf numFmtId="0" fontId="29" fillId="0" borderId="9" xfId="0" applyFont="1" applyBorder="1">
      <alignment vertical="center"/>
    </xf>
    <xf numFmtId="0" fontId="29" fillId="0" borderId="5" xfId="0" applyFont="1" applyBorder="1">
      <alignment vertical="center"/>
    </xf>
    <xf numFmtId="0" fontId="24" fillId="4" borderId="2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4" xfId="0" applyFont="1" applyFill="1" applyBorder="1">
      <alignment vertical="center"/>
    </xf>
    <xf numFmtId="0" fontId="26" fillId="5" borderId="1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9" fontId="0" fillId="2" borderId="0" xfId="10" applyFont="1" applyFill="1">
      <alignment vertical="center"/>
    </xf>
    <xf numFmtId="0" fontId="2" fillId="0" borderId="0" xfId="1" applyFont="1">
      <alignment vertical="center"/>
    </xf>
    <xf numFmtId="0" fontId="2" fillId="0" borderId="14" xfId="1" applyFont="1" applyBorder="1">
      <alignment vertical="center"/>
    </xf>
    <xf numFmtId="177" fontId="0" fillId="2" borderId="0" xfId="10" applyNumberFormat="1" applyFont="1" applyFill="1">
      <alignment vertical="center"/>
    </xf>
    <xf numFmtId="0" fontId="20" fillId="0" borderId="0" xfId="1" applyFont="1">
      <alignment vertical="center"/>
    </xf>
    <xf numFmtId="0" fontId="2" fillId="0" borderId="7" xfId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6" fillId="0" borderId="2" xfId="0" applyFont="1" applyBorder="1">
      <alignment vertical="center"/>
    </xf>
    <xf numFmtId="0" fontId="33" fillId="0" borderId="3" xfId="0" applyFont="1" applyBorder="1">
      <alignment vertical="center"/>
    </xf>
    <xf numFmtId="41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9" fillId="6" borderId="2" xfId="0" applyFont="1" applyFill="1" applyBorder="1">
      <alignment vertical="center"/>
    </xf>
    <xf numFmtId="9" fontId="34" fillId="2" borderId="0" xfId="10" applyFont="1" applyFill="1">
      <alignment vertical="center"/>
    </xf>
    <xf numFmtId="0" fontId="34" fillId="2" borderId="0" xfId="0" applyFont="1" applyFill="1">
      <alignment vertical="center"/>
    </xf>
    <xf numFmtId="41" fontId="0" fillId="0" borderId="0" xfId="2" applyFont="1" applyFill="1" applyBorder="1">
      <alignment vertical="center"/>
    </xf>
    <xf numFmtId="41" fontId="2" fillId="0" borderId="0" xfId="2" applyFont="1" applyFill="1" applyBorder="1">
      <alignment vertical="center"/>
    </xf>
    <xf numFmtId="41" fontId="37" fillId="0" borderId="10" xfId="1" applyNumberFormat="1" applyFont="1" applyFill="1" applyBorder="1">
      <alignment vertical="center"/>
    </xf>
    <xf numFmtId="41" fontId="37" fillId="0" borderId="3" xfId="1" applyNumberFormat="1" applyFont="1" applyFill="1" applyBorder="1">
      <alignment vertical="center"/>
    </xf>
    <xf numFmtId="41" fontId="15" fillId="0" borderId="10" xfId="1" applyNumberFormat="1" applyFont="1" applyFill="1" applyBorder="1">
      <alignment vertical="center"/>
    </xf>
    <xf numFmtId="41" fontId="37" fillId="0" borderId="11" xfId="1" applyNumberFormat="1" applyFont="1" applyFill="1" applyBorder="1">
      <alignment vertical="center"/>
    </xf>
    <xf numFmtId="41" fontId="37" fillId="0" borderId="12" xfId="1" applyNumberFormat="1" applyFont="1" applyFill="1" applyBorder="1">
      <alignment vertical="center"/>
    </xf>
    <xf numFmtId="0" fontId="38" fillId="2" borderId="0" xfId="0" applyFont="1" applyFill="1">
      <alignment vertical="center"/>
    </xf>
    <xf numFmtId="41" fontId="39" fillId="2" borderId="0" xfId="0" applyNumberFormat="1" applyFont="1" applyFill="1">
      <alignment vertical="center"/>
    </xf>
    <xf numFmtId="178" fontId="39" fillId="2" borderId="0" xfId="0" applyNumberFormat="1" applyFont="1" applyFill="1">
      <alignment vertical="center"/>
    </xf>
    <xf numFmtId="10" fontId="39" fillId="2" borderId="0" xfId="10" applyNumberFormat="1" applyFont="1" applyFill="1">
      <alignment vertical="center"/>
    </xf>
    <xf numFmtId="178" fontId="40" fillId="2" borderId="0" xfId="0" applyNumberFormat="1" applyFont="1" applyFill="1">
      <alignment vertical="center"/>
    </xf>
    <xf numFmtId="0" fontId="41" fillId="2" borderId="0" xfId="0" applyFont="1" applyFill="1">
      <alignment vertical="center"/>
    </xf>
    <xf numFmtId="41" fontId="38" fillId="2" borderId="0" xfId="0" applyNumberFormat="1" applyFont="1" applyFill="1">
      <alignment vertical="center"/>
    </xf>
    <xf numFmtId="0" fontId="18" fillId="0" borderId="0" xfId="1" applyFont="1" applyFill="1">
      <alignment vertical="center"/>
    </xf>
    <xf numFmtId="0" fontId="38" fillId="0" borderId="0" xfId="0" applyFont="1" applyFill="1">
      <alignment vertical="center"/>
    </xf>
    <xf numFmtId="0" fontId="42" fillId="0" borderId="0" xfId="0" applyFont="1">
      <alignment vertical="center"/>
    </xf>
    <xf numFmtId="41" fontId="42" fillId="0" borderId="0" xfId="0" applyNumberFormat="1" applyFont="1">
      <alignment vertical="center"/>
    </xf>
    <xf numFmtId="0" fontId="29" fillId="0" borderId="0" xfId="1" applyFont="1">
      <alignment vertical="center"/>
    </xf>
    <xf numFmtId="41" fontId="29" fillId="0" borderId="0" xfId="1" applyNumberFormat="1" applyFont="1">
      <alignment vertical="center"/>
    </xf>
    <xf numFmtId="41" fontId="0" fillId="2" borderId="0" xfId="10" applyNumberFormat="1" applyFont="1" applyFill="1">
      <alignment vertical="center"/>
    </xf>
    <xf numFmtId="0" fontId="2" fillId="0" borderId="0" xfId="1" applyFill="1" applyAlignment="1">
      <alignment horizontal="right" vertical="center"/>
    </xf>
    <xf numFmtId="41" fontId="2" fillId="0" borderId="0" xfId="2" applyFont="1" applyFill="1" applyAlignment="1">
      <alignment horizontal="right" vertical="center"/>
    </xf>
    <xf numFmtId="0" fontId="43" fillId="0" borderId="0" xfId="0" applyFont="1" applyFill="1">
      <alignment vertical="center"/>
    </xf>
    <xf numFmtId="41" fontId="18" fillId="0" borderId="0" xfId="9" quotePrefix="1" applyFont="1" applyBorder="1" applyAlignment="1">
      <alignment horizontal="center" vertical="center"/>
    </xf>
    <xf numFmtId="0" fontId="2" fillId="0" borderId="0" xfId="1" quotePrefix="1" applyBorder="1">
      <alignment vertical="center"/>
    </xf>
    <xf numFmtId="0" fontId="22" fillId="0" borderId="0" xfId="1" applyFont="1" applyBorder="1">
      <alignment vertical="center"/>
    </xf>
    <xf numFmtId="0" fontId="2" fillId="0" borderId="19" xfId="1" applyFont="1" applyBorder="1">
      <alignment vertical="center"/>
    </xf>
    <xf numFmtId="0" fontId="2" fillId="0" borderId="13" xfId="1" applyFont="1" applyBorder="1">
      <alignment vertical="center"/>
    </xf>
    <xf numFmtId="41" fontId="1" fillId="0" borderId="20" xfId="2" applyFont="1" applyFill="1" applyBorder="1">
      <alignment vertical="center"/>
    </xf>
    <xf numFmtId="0" fontId="2" fillId="0" borderId="21" xfId="1" applyFont="1" applyBorder="1">
      <alignment vertical="center"/>
    </xf>
    <xf numFmtId="41" fontId="1" fillId="0" borderId="22" xfId="2" applyFont="1" applyFill="1" applyBorder="1">
      <alignment vertical="center"/>
    </xf>
    <xf numFmtId="0" fontId="2" fillId="0" borderId="23" xfId="1" applyFont="1" applyBorder="1">
      <alignment vertical="center"/>
    </xf>
    <xf numFmtId="41" fontId="1" fillId="0" borderId="24" xfId="2" applyFont="1" applyFill="1" applyBorder="1">
      <alignment vertical="center"/>
    </xf>
    <xf numFmtId="41" fontId="1" fillId="0" borderId="0" xfId="2" applyFont="1" applyFill="1">
      <alignment vertical="center"/>
    </xf>
    <xf numFmtId="0" fontId="43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1" applyFont="1" applyBorder="1">
      <alignment vertical="center"/>
    </xf>
    <xf numFmtId="41" fontId="2" fillId="0" borderId="22" xfId="2" applyFont="1" applyFill="1" applyBorder="1">
      <alignment vertical="center"/>
    </xf>
    <xf numFmtId="0" fontId="2" fillId="0" borderId="14" xfId="0" applyFont="1" applyFill="1" applyBorder="1">
      <alignment vertical="center"/>
    </xf>
    <xf numFmtId="41" fontId="43" fillId="0" borderId="20" xfId="2" applyFont="1" applyFill="1" applyBorder="1">
      <alignment vertical="center"/>
    </xf>
    <xf numFmtId="0" fontId="2" fillId="0" borderId="14" xfId="1" quotePrefix="1" applyFont="1" applyBorder="1">
      <alignment vertical="center"/>
    </xf>
    <xf numFmtId="41" fontId="43" fillId="0" borderId="24" xfId="2" applyFont="1" applyFill="1" applyBorder="1">
      <alignment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41" fontId="43" fillId="0" borderId="25" xfId="2" applyFont="1" applyFill="1" applyBorder="1">
      <alignment vertical="center"/>
    </xf>
    <xf numFmtId="177" fontId="42" fillId="0" borderId="0" xfId="0" applyNumberFormat="1" applyFont="1">
      <alignment vertical="center"/>
    </xf>
    <xf numFmtId="177" fontId="42" fillId="0" borderId="0" xfId="10" applyNumberFormat="1" applyFont="1">
      <alignment vertical="center"/>
    </xf>
    <xf numFmtId="0" fontId="2" fillId="0" borderId="31" xfId="1" applyFont="1" applyBorder="1">
      <alignment vertical="center"/>
    </xf>
    <xf numFmtId="41" fontId="3" fillId="0" borderId="28" xfId="2" applyFont="1" applyFill="1" applyBorder="1">
      <alignment vertical="center"/>
    </xf>
    <xf numFmtId="41" fontId="3" fillId="0" borderId="30" xfId="2" applyFont="1" applyFill="1" applyBorder="1">
      <alignment vertical="center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41" fontId="43" fillId="0" borderId="30" xfId="2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quotePrefix="1" applyFont="1" applyFill="1" applyBorder="1">
      <alignment vertical="center"/>
    </xf>
    <xf numFmtId="0" fontId="2" fillId="0" borderId="27" xfId="1" applyFont="1" applyBorder="1" applyAlignment="1">
      <alignment vertical="center" wrapText="1"/>
    </xf>
    <xf numFmtId="0" fontId="42" fillId="0" borderId="14" xfId="0" applyFont="1" applyBorder="1">
      <alignment vertical="center"/>
    </xf>
    <xf numFmtId="0" fontId="4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41" fontId="43" fillId="0" borderId="0" xfId="14" applyFont="1" applyFill="1" applyBorder="1">
      <alignment vertical="center"/>
    </xf>
    <xf numFmtId="0" fontId="43" fillId="0" borderId="0" xfId="1" applyFont="1" applyBorder="1">
      <alignment vertical="center"/>
    </xf>
    <xf numFmtId="0" fontId="43" fillId="0" borderId="21" xfId="1" applyFont="1" applyBorder="1">
      <alignment vertical="center"/>
    </xf>
    <xf numFmtId="41" fontId="43" fillId="0" borderId="14" xfId="14" applyFont="1" applyFill="1" applyBorder="1">
      <alignment vertical="center"/>
    </xf>
    <xf numFmtId="0" fontId="2" fillId="0" borderId="0" xfId="1">
      <alignment vertical="center"/>
    </xf>
    <xf numFmtId="0" fontId="27" fillId="0" borderId="3" xfId="0" applyFont="1" applyBorder="1">
      <alignment vertical="center"/>
    </xf>
    <xf numFmtId="9" fontId="0" fillId="2" borderId="0" xfId="10" applyFont="1" applyFill="1">
      <alignment vertical="center"/>
    </xf>
    <xf numFmtId="0" fontId="2" fillId="0" borderId="0" xfId="1" applyFont="1">
      <alignment vertical="center"/>
    </xf>
    <xf numFmtId="177" fontId="0" fillId="2" borderId="0" xfId="10" applyNumberFormat="1" applyFont="1" applyFill="1">
      <alignment vertical="center"/>
    </xf>
    <xf numFmtId="0" fontId="27" fillId="0" borderId="3" xfId="0" quotePrefix="1" applyFont="1" applyBorder="1" applyAlignment="1">
      <alignment vertical="center" wrapText="1"/>
    </xf>
    <xf numFmtId="0" fontId="16" fillId="0" borderId="2" xfId="0" applyFont="1" applyBorder="1">
      <alignment vertical="center"/>
    </xf>
    <xf numFmtId="0" fontId="33" fillId="0" borderId="3" xfId="0" applyFont="1" applyBorder="1">
      <alignment vertical="center"/>
    </xf>
    <xf numFmtId="9" fontId="34" fillId="2" borderId="0" xfId="10" applyFont="1" applyFill="1">
      <alignment vertical="center"/>
    </xf>
    <xf numFmtId="0" fontId="18" fillId="0" borderId="18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32" fillId="0" borderId="2" xfId="1" applyFont="1" applyFill="1" applyBorder="1">
      <alignment vertical="center"/>
    </xf>
    <xf numFmtId="0" fontId="38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32" fillId="0" borderId="8" xfId="1" applyFont="1" applyFill="1" applyBorder="1">
      <alignment vertical="center"/>
    </xf>
    <xf numFmtId="0" fontId="14" fillId="0" borderId="9" xfId="0" applyFont="1" applyBorder="1">
      <alignment vertical="center"/>
    </xf>
    <xf numFmtId="0" fontId="32" fillId="0" borderId="4" xfId="1" applyFont="1" applyFill="1" applyBorder="1">
      <alignment vertical="center"/>
    </xf>
    <xf numFmtId="0" fontId="14" fillId="0" borderId="5" xfId="0" applyFont="1" applyBorder="1">
      <alignment vertical="center"/>
    </xf>
    <xf numFmtId="177" fontId="2" fillId="0" borderId="0" xfId="1" applyNumberFormat="1">
      <alignment vertical="center"/>
    </xf>
    <xf numFmtId="0" fontId="43" fillId="0" borderId="21" xfId="0" applyFont="1" applyBorder="1">
      <alignment vertical="center"/>
    </xf>
    <xf numFmtId="0" fontId="43" fillId="0" borderId="0" xfId="0" applyFont="1" applyBorder="1">
      <alignment vertical="center"/>
    </xf>
    <xf numFmtId="41" fontId="43" fillId="0" borderId="22" xfId="14" applyFont="1" applyFill="1" applyBorder="1">
      <alignment vertical="center"/>
    </xf>
    <xf numFmtId="0" fontId="43" fillId="0" borderId="23" xfId="0" applyFont="1" applyBorder="1">
      <alignment vertical="center"/>
    </xf>
    <xf numFmtId="0" fontId="43" fillId="0" borderId="14" xfId="0" applyFont="1" applyBorder="1">
      <alignment vertical="center"/>
    </xf>
    <xf numFmtId="41" fontId="43" fillId="0" borderId="24" xfId="17" quotePrefix="1" applyFont="1" applyBorder="1" applyAlignment="1">
      <alignment horizontal="center" vertical="center"/>
    </xf>
    <xf numFmtId="41" fontId="30" fillId="2" borderId="0" xfId="0" applyNumberFormat="1" applyFont="1" applyFill="1">
      <alignment vertical="center"/>
    </xf>
    <xf numFmtId="41" fontId="0" fillId="2" borderId="0" xfId="9" applyFont="1" applyFill="1">
      <alignment vertical="center"/>
    </xf>
    <xf numFmtId="0" fontId="23" fillId="0" borderId="0" xfId="0" applyFont="1">
      <alignment vertical="center"/>
    </xf>
    <xf numFmtId="41" fontId="43" fillId="0" borderId="0" xfId="2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44" fillId="0" borderId="0" xfId="2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41" fontId="6" fillId="0" borderId="0" xfId="2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14" xfId="0" quotePrefix="1" applyFont="1" applyFill="1" applyBorder="1">
      <alignment vertical="center"/>
    </xf>
    <xf numFmtId="0" fontId="2" fillId="0" borderId="16" xfId="0" applyFont="1" applyFill="1" applyBorder="1">
      <alignment vertical="center"/>
    </xf>
    <xf numFmtId="41" fontId="2" fillId="0" borderId="0" xfId="2" applyFont="1" applyFill="1" applyBorder="1" applyAlignment="1">
      <alignment horizontal="center" vertical="center"/>
    </xf>
    <xf numFmtId="0" fontId="2" fillId="0" borderId="15" xfId="0" applyFont="1" applyFill="1" applyBorder="1">
      <alignment vertical="center"/>
    </xf>
    <xf numFmtId="41" fontId="2" fillId="0" borderId="0" xfId="2" quotePrefix="1" applyFont="1" applyFill="1" applyBorder="1">
      <alignment vertical="center"/>
    </xf>
    <xf numFmtId="41" fontId="3" fillId="0" borderId="0" xfId="2" applyNumberFormat="1" applyFont="1" applyFill="1" applyBorder="1">
      <alignment vertical="center"/>
    </xf>
    <xf numFmtId="41" fontId="2" fillId="0" borderId="0" xfId="2" applyNumberFormat="1" applyFont="1" applyFill="1" applyBorder="1">
      <alignment vertical="center"/>
    </xf>
    <xf numFmtId="176" fontId="3" fillId="0" borderId="0" xfId="2" applyNumberFormat="1" applyFont="1" applyFill="1" applyBorder="1">
      <alignment vertical="center"/>
    </xf>
    <xf numFmtId="41" fontId="4" fillId="0" borderId="0" xfId="2" applyNumberFormat="1" applyFont="1" applyFill="1">
      <alignment vertical="center"/>
    </xf>
    <xf numFmtId="41" fontId="43" fillId="0" borderId="0" xfId="0" applyNumberFormat="1" applyFont="1" applyFill="1">
      <alignment vertical="center"/>
    </xf>
    <xf numFmtId="0" fontId="43" fillId="0" borderId="13" xfId="0" applyFont="1" applyFill="1" applyBorder="1">
      <alignment vertical="center"/>
    </xf>
    <xf numFmtId="41" fontId="43" fillId="0" borderId="13" xfId="2" applyFont="1" applyFill="1" applyBorder="1">
      <alignment vertical="center"/>
    </xf>
    <xf numFmtId="0" fontId="43" fillId="0" borderId="0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3" xfId="0" applyFont="1" applyFill="1" applyBorder="1">
      <alignment vertical="center"/>
    </xf>
    <xf numFmtId="179" fontId="2" fillId="0" borderId="13" xfId="11" applyNumberFormat="1" applyFont="1" applyFill="1" applyBorder="1" applyAlignment="1">
      <alignment horizontal="center" vertical="center"/>
    </xf>
    <xf numFmtId="180" fontId="2" fillId="0" borderId="20" xfId="11" quotePrefix="1" applyNumberFormat="1" applyFont="1" applyFill="1" applyBorder="1" applyAlignment="1">
      <alignment horizontal="center" vertical="center"/>
    </xf>
    <xf numFmtId="41" fontId="2" fillId="0" borderId="24" xfId="9" quotePrefix="1" applyFont="1" applyFill="1" applyBorder="1" applyAlignment="1">
      <alignment horizontal="center" vertical="center"/>
    </xf>
    <xf numFmtId="41" fontId="2" fillId="0" borderId="0" xfId="9" quotePrefix="1" applyFont="1" applyFill="1" applyBorder="1" applyAlignment="1">
      <alignment horizontal="center" vertical="center"/>
    </xf>
    <xf numFmtId="179" fontId="2" fillId="0" borderId="13" xfId="11" quotePrefix="1" applyNumberFormat="1" applyFont="1" applyFill="1" applyBorder="1" applyAlignment="1">
      <alignment horizontal="left" vertical="center"/>
    </xf>
    <xf numFmtId="179" fontId="2" fillId="0" borderId="13" xfId="11" quotePrefix="1" applyNumberFormat="1" applyFont="1" applyFill="1" applyBorder="1" applyAlignment="1">
      <alignment horizontal="left" vertical="center" wrapText="1"/>
    </xf>
    <xf numFmtId="41" fontId="2" fillId="0" borderId="20" xfId="9" quotePrefix="1" applyFont="1" applyFill="1" applyBorder="1" applyAlignment="1">
      <alignment horizontal="center" vertical="center"/>
    </xf>
    <xf numFmtId="0" fontId="2" fillId="7" borderId="0" xfId="1" applyFill="1">
      <alignment vertical="center"/>
    </xf>
    <xf numFmtId="41" fontId="2" fillId="7" borderId="0" xfId="1" applyNumberFormat="1" applyFill="1">
      <alignment vertical="center"/>
    </xf>
    <xf numFmtId="0" fontId="35" fillId="7" borderId="10" xfId="1" applyFont="1" applyFill="1" applyBorder="1" applyAlignment="1">
      <alignment horizontal="center" vertical="center"/>
    </xf>
    <xf numFmtId="0" fontId="20" fillId="7" borderId="10" xfId="1" applyFont="1" applyFill="1" applyBorder="1" applyAlignment="1">
      <alignment horizontal="center" vertical="center"/>
    </xf>
    <xf numFmtId="0" fontId="2" fillId="7" borderId="10" xfId="1" applyFill="1" applyBorder="1" applyAlignment="1">
      <alignment horizontal="center" vertical="center"/>
    </xf>
    <xf numFmtId="41" fontId="0" fillId="7" borderId="10" xfId="2" applyFont="1" applyFill="1" applyBorder="1">
      <alignment vertical="center"/>
    </xf>
    <xf numFmtId="182" fontId="2" fillId="7" borderId="10" xfId="1" applyNumberFormat="1" applyFill="1" applyBorder="1">
      <alignment vertical="center"/>
    </xf>
    <xf numFmtId="183" fontId="35" fillId="7" borderId="10" xfId="1" applyNumberFormat="1" applyFont="1" applyFill="1" applyBorder="1">
      <alignment vertical="center"/>
    </xf>
    <xf numFmtId="177" fontId="35" fillId="7" borderId="10" xfId="3" applyNumberFormat="1" applyFont="1" applyFill="1" applyBorder="1">
      <alignment vertical="center"/>
    </xf>
    <xf numFmtId="176" fontId="35" fillId="7" borderId="10" xfId="1" applyNumberFormat="1" applyFont="1" applyFill="1" applyBorder="1">
      <alignment vertical="center"/>
    </xf>
    <xf numFmtId="0" fontId="1" fillId="7" borderId="0" xfId="13" applyFill="1">
      <alignment vertical="center"/>
    </xf>
    <xf numFmtId="14" fontId="1" fillId="7" borderId="0" xfId="13" applyNumberFormat="1" applyFill="1">
      <alignment vertical="center"/>
    </xf>
    <xf numFmtId="14" fontId="0" fillId="7" borderId="0" xfId="13" applyNumberFormat="1" applyFont="1" applyFill="1">
      <alignment vertical="center"/>
    </xf>
    <xf numFmtId="0" fontId="0" fillId="7" borderId="0" xfId="0" applyFill="1">
      <alignment vertical="center"/>
    </xf>
    <xf numFmtId="43" fontId="2" fillId="7" borderId="0" xfId="1" applyNumberFormat="1" applyFill="1">
      <alignment vertical="center"/>
    </xf>
    <xf numFmtId="4" fontId="16" fillId="7" borderId="0" xfId="13" applyNumberFormat="1" applyFont="1" applyFill="1">
      <alignment vertical="center"/>
    </xf>
    <xf numFmtId="41" fontId="20" fillId="7" borderId="0" xfId="2" applyFont="1" applyFill="1" applyAlignment="1">
      <alignment horizontal="center" vertical="center"/>
    </xf>
    <xf numFmtId="181" fontId="0" fillId="7" borderId="0" xfId="2" applyNumberFormat="1" applyFont="1" applyFill="1" applyAlignment="1">
      <alignment horizontal="center" vertical="center"/>
    </xf>
    <xf numFmtId="0" fontId="0" fillId="7" borderId="0" xfId="13" applyFont="1" applyFill="1">
      <alignment vertical="center"/>
    </xf>
    <xf numFmtId="41" fontId="16" fillId="7" borderId="0" xfId="2" applyFont="1" applyFill="1">
      <alignment vertical="center"/>
    </xf>
    <xf numFmtId="0" fontId="36" fillId="7" borderId="0" xfId="13" applyFont="1" applyFill="1">
      <alignment vertical="center"/>
    </xf>
    <xf numFmtId="4" fontId="1" fillId="7" borderId="0" xfId="13" applyNumberFormat="1" applyFill="1">
      <alignment vertical="center"/>
    </xf>
    <xf numFmtId="9" fontId="2" fillId="7" borderId="0" xfId="3" applyFill="1">
      <alignment vertical="center"/>
    </xf>
    <xf numFmtId="0" fontId="45" fillId="0" borderId="0" xfId="19" applyFont="1" applyAlignment="1">
      <alignment vertical="center"/>
    </xf>
    <xf numFmtId="0" fontId="45" fillId="0" borderId="0" xfId="19" applyFont="1" applyAlignment="1">
      <alignment horizontal="center" vertical="center"/>
    </xf>
    <xf numFmtId="0" fontId="37" fillId="0" borderId="0" xfId="19" applyFont="1" applyAlignment="1">
      <alignment vertical="center"/>
    </xf>
    <xf numFmtId="0" fontId="49" fillId="0" borderId="0" xfId="19" applyFont="1" applyAlignment="1">
      <alignment horizontal="left" vertical="center"/>
    </xf>
    <xf numFmtId="0" fontId="45" fillId="0" borderId="0" xfId="19" applyFont="1" applyBorder="1" applyAlignment="1" applyProtection="1">
      <alignment horizontal="distributed" vertical="center" indent="1"/>
    </xf>
    <xf numFmtId="41" fontId="45" fillId="0" borderId="0" xfId="20" applyFont="1" applyBorder="1" applyAlignment="1">
      <alignment vertical="center"/>
    </xf>
    <xf numFmtId="37" fontId="45" fillId="0" borderId="0" xfId="19" applyNumberFormat="1" applyFont="1" applyBorder="1" applyAlignment="1" applyProtection="1">
      <alignment horizontal="center" vertical="center"/>
    </xf>
    <xf numFmtId="9" fontId="45" fillId="0" borderId="0" xfId="21" applyFont="1" applyBorder="1" applyAlignment="1" applyProtection="1">
      <alignment horizontal="center" vertical="center"/>
    </xf>
    <xf numFmtId="39" fontId="45" fillId="0" borderId="0" xfId="19" applyNumberFormat="1" applyFont="1" applyBorder="1" applyAlignment="1" applyProtection="1">
      <alignment vertical="center"/>
    </xf>
    <xf numFmtId="41" fontId="45" fillId="0" borderId="22" xfId="20" applyFont="1" applyBorder="1" applyAlignment="1">
      <alignment vertical="center"/>
    </xf>
    <xf numFmtId="41" fontId="45" fillId="0" borderId="40" xfId="20" applyFont="1" applyBorder="1" applyAlignment="1">
      <alignment vertical="center"/>
    </xf>
    <xf numFmtId="0" fontId="15" fillId="0" borderId="0" xfId="19" applyFont="1" applyAlignment="1">
      <alignment vertical="center"/>
    </xf>
    <xf numFmtId="1" fontId="45" fillId="0" borderId="0" xfId="19" applyNumberFormat="1" applyFont="1" applyBorder="1" applyAlignment="1" applyProtection="1">
      <alignment horizontal="center" vertical="center"/>
    </xf>
    <xf numFmtId="0" fontId="49" fillId="0" borderId="0" xfId="19" applyFont="1" applyAlignment="1">
      <alignment vertical="center"/>
    </xf>
    <xf numFmtId="0" fontId="45" fillId="0" borderId="0" xfId="19" applyFont="1" applyBorder="1" applyAlignment="1">
      <alignment horizontal="center" vertical="center"/>
    </xf>
    <xf numFmtId="0" fontId="45" fillId="0" borderId="0" xfId="19" applyFont="1" applyBorder="1" applyAlignment="1">
      <alignment vertical="center"/>
    </xf>
    <xf numFmtId="41" fontId="45" fillId="0" borderId="0" xfId="20" applyFont="1" applyAlignment="1">
      <alignment vertical="center"/>
    </xf>
    <xf numFmtId="41" fontId="2" fillId="7" borderId="10" xfId="9" applyFont="1" applyFill="1" applyBorder="1">
      <alignment vertical="center"/>
    </xf>
    <xf numFmtId="43" fontId="0" fillId="2" borderId="0" xfId="0" applyNumberFormat="1" applyFill="1">
      <alignment vertical="center"/>
    </xf>
    <xf numFmtId="43" fontId="38" fillId="2" borderId="0" xfId="0" applyNumberFormat="1" applyFont="1" applyFill="1">
      <alignment vertical="center"/>
    </xf>
    <xf numFmtId="0" fontId="3" fillId="3" borderId="0" xfId="0" applyFont="1" applyFill="1" applyBorder="1">
      <alignment vertical="center"/>
    </xf>
    <xf numFmtId="41" fontId="3" fillId="3" borderId="0" xfId="2" applyFont="1" applyFill="1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2" fillId="8" borderId="0" xfId="1" applyFont="1" applyFill="1" applyAlignment="1">
      <alignment horizontal="center" vertical="center"/>
    </xf>
    <xf numFmtId="0" fontId="2" fillId="8" borderId="0" xfId="1" applyFont="1" applyFill="1">
      <alignment vertical="center"/>
    </xf>
    <xf numFmtId="41" fontId="3" fillId="8" borderId="0" xfId="2" applyFont="1" applyFill="1">
      <alignment vertical="center"/>
    </xf>
    <xf numFmtId="0" fontId="3" fillId="8" borderId="0" xfId="1" applyFont="1" applyFill="1" applyAlignment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45" fillId="0" borderId="0" xfId="0" applyFont="1" applyAlignment="1" applyProtection="1">
      <alignment horizontal="left" vertical="center"/>
    </xf>
    <xf numFmtId="0" fontId="45" fillId="0" borderId="0" xfId="0" applyFont="1" applyAlignment="1" applyProtection="1">
      <alignment horizontal="center" vertical="center"/>
    </xf>
    <xf numFmtId="0" fontId="45" fillId="0" borderId="0" xfId="0" quotePrefix="1" applyFont="1" applyAlignment="1" applyProtection="1">
      <alignment horizontal="centerContinuous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8" xfId="0" applyFont="1" applyBorder="1" applyAlignment="1" applyProtection="1">
      <alignment horizontal="distributed" vertical="center" indent="1"/>
    </xf>
    <xf numFmtId="37" fontId="45" fillId="0" borderId="22" xfId="0" applyNumberFormat="1" applyFont="1" applyBorder="1" applyAlignment="1" applyProtection="1">
      <alignment horizontal="center" vertical="center"/>
    </xf>
    <xf numFmtId="37" fontId="45" fillId="0" borderId="34" xfId="0" applyNumberFormat="1" applyFont="1" applyBorder="1" applyAlignment="1" applyProtection="1">
      <alignment vertical="center"/>
    </xf>
    <xf numFmtId="0" fontId="0" fillId="0" borderId="39" xfId="0" applyFont="1" applyBorder="1" applyAlignment="1" applyProtection="1">
      <alignment horizontal="distributed" vertical="center" indent="1"/>
    </xf>
    <xf numFmtId="37" fontId="45" fillId="0" borderId="40" xfId="0" applyNumberFormat="1" applyFont="1" applyBorder="1" applyAlignment="1" applyProtection="1">
      <alignment horizontal="center" vertical="center"/>
    </xf>
    <xf numFmtId="37" fontId="45" fillId="0" borderId="41" xfId="0" applyNumberFormat="1" applyFont="1" applyBorder="1" applyAlignment="1" applyProtection="1">
      <alignment horizontal="center" vertical="center"/>
    </xf>
    <xf numFmtId="37" fontId="45" fillId="0" borderId="35" xfId="0" applyNumberFormat="1" applyFont="1" applyBorder="1" applyAlignment="1" applyProtection="1">
      <alignment vertical="center"/>
    </xf>
    <xf numFmtId="9" fontId="2" fillId="0" borderId="13" xfId="10" applyFont="1" applyFill="1" applyBorder="1" applyAlignment="1">
      <alignment horizontal="center" vertical="center"/>
    </xf>
    <xf numFmtId="9" fontId="2" fillId="0" borderId="0" xfId="10" applyFont="1" applyBorder="1" applyAlignment="1">
      <alignment horizontal="center" vertical="center"/>
    </xf>
    <xf numFmtId="9" fontId="2" fillId="0" borderId="14" xfId="10" applyFont="1" applyBorder="1" applyAlignment="1">
      <alignment horizontal="center" vertical="center"/>
    </xf>
    <xf numFmtId="41" fontId="1" fillId="7" borderId="0" xfId="9" applyFill="1">
      <alignment vertical="center"/>
    </xf>
    <xf numFmtId="0" fontId="1" fillId="0" borderId="0" xfId="13" applyFill="1">
      <alignment vertical="center"/>
    </xf>
    <xf numFmtId="0" fontId="36" fillId="0" borderId="0" xfId="13" applyFont="1" applyFill="1">
      <alignment vertical="center"/>
    </xf>
    <xf numFmtId="4" fontId="1" fillId="0" borderId="0" xfId="13" applyNumberFormat="1" applyFill="1">
      <alignment vertical="center"/>
    </xf>
    <xf numFmtId="0" fontId="5" fillId="0" borderId="0" xfId="1" applyFont="1" applyFill="1">
      <alignment vertical="center"/>
    </xf>
    <xf numFmtId="41" fontId="20" fillId="0" borderId="0" xfId="2" applyFont="1" applyFill="1" applyAlignment="1">
      <alignment horizontal="center" vertical="center"/>
    </xf>
    <xf numFmtId="181" fontId="0" fillId="0" borderId="0" xfId="2" applyNumberFormat="1" applyFont="1" applyFill="1" applyAlignment="1">
      <alignment horizontal="center" vertical="center"/>
    </xf>
    <xf numFmtId="41" fontId="35" fillId="0" borderId="0" xfId="1" applyNumberFormat="1" applyFont="1" applyFill="1">
      <alignment vertical="center"/>
    </xf>
    <xf numFmtId="41" fontId="2" fillId="0" borderId="0" xfId="1" applyNumberFormat="1" applyFill="1">
      <alignment vertical="center"/>
    </xf>
    <xf numFmtId="0" fontId="2" fillId="0" borderId="0" xfId="1" quotePrefix="1" applyFont="1" applyBorder="1">
      <alignment vertical="center"/>
    </xf>
    <xf numFmtId="0" fontId="4" fillId="0" borderId="19" xfId="1" applyFont="1" applyBorder="1">
      <alignment vertical="center"/>
    </xf>
    <xf numFmtId="0" fontId="3" fillId="0" borderId="13" xfId="1" applyFont="1" applyBorder="1">
      <alignment vertical="center"/>
    </xf>
    <xf numFmtId="41" fontId="3" fillId="0" borderId="20" xfId="2" applyFont="1" applyFill="1" applyBorder="1">
      <alignment vertical="center"/>
    </xf>
    <xf numFmtId="41" fontId="3" fillId="0" borderId="0" xfId="2" applyFont="1" applyFill="1" applyBorder="1">
      <alignment vertical="center"/>
    </xf>
    <xf numFmtId="0" fontId="32" fillId="0" borderId="2" xfId="0" applyFont="1" applyBorder="1">
      <alignment vertical="center"/>
    </xf>
    <xf numFmtId="41" fontId="50" fillId="0" borderId="10" xfId="0" applyNumberFormat="1" applyFont="1" applyBorder="1">
      <alignment vertical="center"/>
    </xf>
    <xf numFmtId="0" fontId="43" fillId="0" borderId="29" xfId="1" applyFont="1" applyBorder="1">
      <alignment vertical="center"/>
    </xf>
    <xf numFmtId="41" fontId="43" fillId="0" borderId="30" xfId="14" applyFont="1" applyFill="1" applyBorder="1">
      <alignment vertical="center"/>
    </xf>
    <xf numFmtId="0" fontId="43" fillId="0" borderId="42" xfId="1" applyFont="1" applyBorder="1">
      <alignment vertical="center"/>
    </xf>
    <xf numFmtId="0" fontId="43" fillId="0" borderId="31" xfId="1" applyFont="1" applyBorder="1">
      <alignment vertical="center"/>
    </xf>
    <xf numFmtId="41" fontId="43" fillId="0" borderId="32" xfId="14" applyFont="1" applyFill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>
      <alignment vertical="center"/>
    </xf>
    <xf numFmtId="41" fontId="3" fillId="3" borderId="10" xfId="2" applyFont="1" applyFill="1" applyBorder="1">
      <alignment vertical="center"/>
    </xf>
    <xf numFmtId="0" fontId="2" fillId="0" borderId="10" xfId="1" applyFont="1" applyFill="1" applyBorder="1">
      <alignment vertical="center"/>
    </xf>
    <xf numFmtId="0" fontId="2" fillId="0" borderId="10" xfId="1" applyFont="1" applyBorder="1">
      <alignment vertical="center"/>
    </xf>
    <xf numFmtId="177" fontId="2" fillId="0" borderId="10" xfId="1" applyNumberFormat="1" applyFont="1" applyFill="1" applyBorder="1" applyAlignment="1">
      <alignment horizontal="left" vertical="center"/>
    </xf>
    <xf numFmtId="41" fontId="2" fillId="0" borderId="10" xfId="2" applyFont="1" applyFill="1" applyBorder="1">
      <alignment vertical="center"/>
    </xf>
    <xf numFmtId="0" fontId="3" fillId="3" borderId="10" xfId="0" applyFont="1" applyFill="1" applyBorder="1" applyAlignment="1">
      <alignment horizontal="left" vertical="center"/>
    </xf>
    <xf numFmtId="0" fontId="2" fillId="8" borderId="10" xfId="1" applyFont="1" applyFill="1" applyBorder="1">
      <alignment vertical="center"/>
    </xf>
    <xf numFmtId="0" fontId="2" fillId="0" borderId="10" xfId="1" applyFont="1" applyBorder="1" applyAlignment="1">
      <alignment vertical="center" wrapText="1"/>
    </xf>
    <xf numFmtId="41" fontId="3" fillId="0" borderId="10" xfId="2" applyFont="1" applyFill="1" applyBorder="1">
      <alignment vertical="center"/>
    </xf>
    <xf numFmtId="41" fontId="43" fillId="0" borderId="10" xfId="2" applyFont="1" applyFill="1" applyBorder="1">
      <alignment vertical="center"/>
    </xf>
    <xf numFmtId="0" fontId="1" fillId="7" borderId="10" xfId="13" applyFill="1" applyBorder="1">
      <alignment vertical="center"/>
    </xf>
    <xf numFmtId="41" fontId="1" fillId="7" borderId="10" xfId="9" applyFill="1" applyBorder="1">
      <alignment vertical="center"/>
    </xf>
    <xf numFmtId="0" fontId="0" fillId="7" borderId="10" xfId="13" applyFont="1" applyFill="1" applyBorder="1">
      <alignment vertical="center"/>
    </xf>
    <xf numFmtId="0" fontId="2" fillId="7" borderId="10" xfId="1" applyFill="1" applyBorder="1">
      <alignment vertical="center"/>
    </xf>
    <xf numFmtId="41" fontId="16" fillId="7" borderId="10" xfId="2" applyFont="1" applyFill="1" applyBorder="1">
      <alignment vertical="center"/>
    </xf>
    <xf numFmtId="0" fontId="36" fillId="7" borderId="10" xfId="13" applyFont="1" applyFill="1" applyBorder="1">
      <alignment vertical="center"/>
    </xf>
    <xf numFmtId="4" fontId="1" fillId="7" borderId="10" xfId="13" applyNumberFormat="1" applyFill="1" applyBorder="1">
      <alignment vertical="center"/>
    </xf>
    <xf numFmtId="9" fontId="2" fillId="7" borderId="10" xfId="3" applyFill="1" applyBorder="1">
      <alignment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41" fontId="0" fillId="0" borderId="10" xfId="9" applyFont="1" applyBorder="1" applyAlignment="1">
      <alignment horizontal="center" vertical="center"/>
    </xf>
    <xf numFmtId="41" fontId="38" fillId="7" borderId="10" xfId="2" applyFont="1" applyFill="1" applyBorder="1">
      <alignment vertical="center"/>
    </xf>
    <xf numFmtId="0" fontId="18" fillId="7" borderId="10" xfId="1" applyFont="1" applyFill="1" applyBorder="1" applyAlignment="1">
      <alignment horizontal="center" vertical="center"/>
    </xf>
    <xf numFmtId="0" fontId="15" fillId="7" borderId="10" xfId="1" applyFont="1" applyFill="1" applyBorder="1" applyAlignment="1">
      <alignment horizontal="center" vertical="center"/>
    </xf>
    <xf numFmtId="41" fontId="18" fillId="7" borderId="10" xfId="9" applyFont="1" applyFill="1" applyBorder="1" applyAlignment="1">
      <alignment vertical="center"/>
    </xf>
    <xf numFmtId="182" fontId="18" fillId="7" borderId="10" xfId="1" applyNumberFormat="1" applyFont="1" applyFill="1" applyBorder="1">
      <alignment vertical="center"/>
    </xf>
    <xf numFmtId="183" fontId="41" fillId="7" borderId="10" xfId="1" applyNumberFormat="1" applyFont="1" applyFill="1" applyBorder="1">
      <alignment vertical="center"/>
    </xf>
    <xf numFmtId="177" fontId="41" fillId="7" borderId="10" xfId="3" applyNumberFormat="1" applyFont="1" applyFill="1" applyBorder="1">
      <alignment vertical="center"/>
    </xf>
    <xf numFmtId="176" fontId="41" fillId="7" borderId="10" xfId="1" applyNumberFormat="1" applyFont="1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0" fillId="7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22">
    <cellStyle name="백분율" xfId="10" builtinId="5"/>
    <cellStyle name="백분율 2" xfId="6"/>
    <cellStyle name="백분율 3" xfId="3"/>
    <cellStyle name="백분율 4" xfId="21"/>
    <cellStyle name="쉼표 [0]" xfId="9" builtinId="6"/>
    <cellStyle name="쉼표 [0] 2" xfId="5"/>
    <cellStyle name="쉼표 [0] 2 2" xfId="8"/>
    <cellStyle name="쉼표 [0] 2 2 2" xfId="17"/>
    <cellStyle name="쉼표 [0] 2 3" xfId="15"/>
    <cellStyle name="쉼표 [0] 3" xfId="2"/>
    <cellStyle name="쉼표 [0] 3 2" xfId="14"/>
    <cellStyle name="쉼표 [0] 4" xfId="7"/>
    <cellStyle name="쉼표 [0] 4 2" xfId="16"/>
    <cellStyle name="쉼표 [0] 5" xfId="18"/>
    <cellStyle name="쉼표 [0] 6" xfId="20"/>
    <cellStyle name="표준" xfId="0" builtinId="0"/>
    <cellStyle name="표준 2" xfId="4"/>
    <cellStyle name="표준 3" xfId="1"/>
    <cellStyle name="표준 3 3" xfId="12"/>
    <cellStyle name="표준 4" xfId="13"/>
    <cellStyle name="표준 5" xfId="19"/>
    <cellStyle name="표준_(수정된)(사회적 기업 국제컨퍼런스). 예산안" xfId="11"/>
  </cellStyles>
  <dxfs count="0"/>
  <tableStyles count="0" defaultTableStyle="TableStyleMedium2" defaultPivotStyle="PivotStyleLight16"/>
  <colors>
    <mruColors>
      <color rgb="FFB889DB"/>
      <color rgb="FF0000FF"/>
      <color rgb="FFF6E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31</xdr:row>
      <xdr:rowOff>38100</xdr:rowOff>
    </xdr:from>
    <xdr:to>
      <xdr:col>2</xdr:col>
      <xdr:colOff>3733800</xdr:colOff>
      <xdr:row>82</xdr:row>
      <xdr:rowOff>38100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1476" y="12353925"/>
          <a:ext cx="7019924" cy="106870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r>
            <a:rPr lang="ko-KR" altLang="en-US" sz="40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산 출 내 역 서</a:t>
          </a:r>
          <a:endParaRPr lang="en-US" altLang="ko-KR" sz="4000" b="1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r>
            <a:rPr lang="en-US" altLang="ko-KR" sz="18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2024. 07.</a:t>
          </a: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  <a:p>
          <a:pPr algn="ctr"/>
          <a:endParaRPr lang="en-US" altLang="ko-KR" sz="1600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3</xdr:row>
      <xdr:rowOff>47625</xdr:rowOff>
    </xdr:from>
    <xdr:to>
      <xdr:col>5</xdr:col>
      <xdr:colOff>200025</xdr:colOff>
      <xdr:row>23</xdr:row>
      <xdr:rowOff>31715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590550"/>
          <a:ext cx="5381625" cy="3603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190500</xdr:rowOff>
    </xdr:from>
    <xdr:to>
      <xdr:col>7</xdr:col>
      <xdr:colOff>526380</xdr:colOff>
      <xdr:row>36</xdr:row>
      <xdr:rowOff>200025</xdr:rowOff>
    </xdr:to>
    <xdr:pic>
      <xdr:nvPicPr>
        <xdr:cNvPr id="2" name="그림 1" descr="법령별표 본문이미지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90500"/>
          <a:ext cx="5126954" cy="755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150169</xdr:colOff>
      <xdr:row>1</xdr:row>
      <xdr:rowOff>9525</xdr:rowOff>
    </xdr:from>
    <xdr:to>
      <xdr:col>15</xdr:col>
      <xdr:colOff>352425</xdr:colOff>
      <xdr:row>36</xdr:row>
      <xdr:rowOff>57151</xdr:rowOff>
    </xdr:to>
    <xdr:pic>
      <xdr:nvPicPr>
        <xdr:cNvPr id="3" name="그림 2" descr="법령별표 본문이미지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-389"/>
        <a:stretch/>
      </xdr:blipFill>
      <xdr:spPr bwMode="auto">
        <a:xfrm>
          <a:off x="5636569" y="219075"/>
          <a:ext cx="5002856" cy="7381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234534</xdr:colOff>
      <xdr:row>36</xdr:row>
      <xdr:rowOff>68037</xdr:rowOff>
    </xdr:from>
    <xdr:to>
      <xdr:col>15</xdr:col>
      <xdr:colOff>462644</xdr:colOff>
      <xdr:row>53</xdr:row>
      <xdr:rowOff>123723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77391" y="7415894"/>
          <a:ext cx="4990610" cy="35255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44032;&#44201;\&#54588;&#48373;\&#44540;&#47924;&#48373;\&#44592;&#53440;\&#44592;&#5050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44592;&#53440;/&#44592;&#505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56;&#51109;&#49437;\C\cost\&#44592;&#50504;\&#54872;&#475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납기연기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운임"/>
      <sheetName val="구매"/>
      <sheetName val="예가"/>
      <sheetName val="갑지"/>
      <sheetName val="원가"/>
      <sheetName val="Sheet1"/>
      <sheetName val="가격"/>
      <sheetName val="시장"/>
      <sheetName val="운반"/>
      <sheetName val="체크"/>
      <sheetName val="조사서"/>
      <sheetName val="입량 기안"/>
      <sheetName val="입량"/>
      <sheetName val="봉투"/>
      <sheetName val="점검표"/>
      <sheetName val="개찰"/>
      <sheetName val="계약"/>
      <sheetName val="카메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창"/>
      <sheetName val="전진"/>
      <sheetName val="전진시행"/>
      <sheetName val="성우"/>
      <sheetName val="시행문 (2)"/>
      <sheetName val="리스트"/>
      <sheetName val="기안"/>
      <sheetName val="시행문"/>
      <sheetName val="인수"/>
      <sheetName val="주소"/>
      <sheetName val="시행조"/>
      <sheetName val="정정고지"/>
      <sheetName val="Sheet1"/>
      <sheetName val="대동"/>
      <sheetName val="시행문 (3)"/>
      <sheetName val="기안 2"/>
      <sheetName val="부침1"/>
      <sheetName val="부침3 (2)"/>
      <sheetName val="부침1 (2)"/>
      <sheetName val="부침1 (3)"/>
      <sheetName val="부침1 (4)"/>
      <sheetName val="주소 (2)"/>
      <sheetName val="연장"/>
      <sheetName val="연장 (2)"/>
      <sheetName val="연장 (3)"/>
      <sheetName val="Sheet2"/>
      <sheetName val="서식"/>
      <sheetName val="재발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>
            <v>1</v>
          </cell>
          <cell r="B4" t="str">
            <v>455('98. 2.10)</v>
          </cell>
          <cell r="C4">
            <v>9820076</v>
          </cell>
          <cell r="D4">
            <v>35828</v>
          </cell>
          <cell r="E4" t="str">
            <v>(주)청원콘크리트</v>
          </cell>
          <cell r="F4" t="str">
            <v>이성우</v>
          </cell>
          <cell r="G4" t="str">
            <v>보차도콘크리트 인터로킹블록</v>
          </cell>
          <cell r="H4">
            <v>10587</v>
          </cell>
          <cell r="I4" t="str">
            <v>㎡</v>
          </cell>
          <cell r="J4">
            <v>60000000</v>
          </cell>
          <cell r="K4">
            <v>600000</v>
          </cell>
          <cell r="L4">
            <v>1108230</v>
          </cell>
          <cell r="M4">
            <v>61708230</v>
          </cell>
          <cell r="N4">
            <v>1215320</v>
          </cell>
          <cell r="O4">
            <v>62923550</v>
          </cell>
          <cell r="P4">
            <v>35829</v>
          </cell>
          <cell r="Q4">
            <v>35918</v>
          </cell>
          <cell r="R4">
            <v>35979</v>
          </cell>
          <cell r="S4" t="str">
            <v>경기 화성군 양감면 송산리 431-1</v>
          </cell>
          <cell r="T4" t="str">
            <v>445-950</v>
          </cell>
          <cell r="U4" t="str">
            <v>0331-36-9197</v>
          </cell>
          <cell r="V4">
            <v>89</v>
          </cell>
          <cell r="X4">
            <v>63552785.5</v>
          </cell>
        </row>
        <row r="5">
          <cell r="A5">
            <v>2</v>
          </cell>
          <cell r="B5" t="str">
            <v>455('98. 2.10)</v>
          </cell>
          <cell r="C5">
            <v>9820090</v>
          </cell>
          <cell r="D5">
            <v>35830</v>
          </cell>
          <cell r="E5" t="str">
            <v>(주)양산</v>
          </cell>
          <cell r="F5" t="str">
            <v>양옥승</v>
          </cell>
          <cell r="G5" t="str">
            <v>보차도콘크리트 인터로킹블록</v>
          </cell>
          <cell r="H5">
            <v>10587</v>
          </cell>
          <cell r="I5" t="str">
            <v>㎡</v>
          </cell>
          <cell r="J5">
            <v>60000000</v>
          </cell>
          <cell r="K5">
            <v>600000</v>
          </cell>
          <cell r="L5">
            <v>1108230</v>
          </cell>
          <cell r="M5">
            <v>61708230</v>
          </cell>
          <cell r="N5">
            <v>1235240</v>
          </cell>
          <cell r="O5">
            <v>62943470</v>
          </cell>
          <cell r="P5">
            <v>35832</v>
          </cell>
          <cell r="Q5">
            <v>35921</v>
          </cell>
          <cell r="R5">
            <v>35982</v>
          </cell>
          <cell r="S5" t="str">
            <v>경기 양주군 은현면 봉암리 414-6</v>
          </cell>
          <cell r="T5" t="str">
            <v>482-860</v>
          </cell>
          <cell r="U5" t="str">
            <v>0351-64-2221</v>
          </cell>
          <cell r="V5">
            <v>89</v>
          </cell>
          <cell r="X5">
            <v>63572904.700000003</v>
          </cell>
        </row>
        <row r="6">
          <cell r="A6">
            <v>2</v>
          </cell>
          <cell r="B6" t="str">
            <v>455('98. 2.10)</v>
          </cell>
          <cell r="C6">
            <v>9820090</v>
          </cell>
          <cell r="D6">
            <v>35830</v>
          </cell>
          <cell r="E6" t="str">
            <v>(주)양산</v>
          </cell>
          <cell r="F6" t="str">
            <v>양옥승</v>
          </cell>
          <cell r="G6" t="str">
            <v>보차도콘크리트 인터로킹블록</v>
          </cell>
          <cell r="H6">
            <v>10587</v>
          </cell>
          <cell r="I6" t="str">
            <v>㎡</v>
          </cell>
          <cell r="J6">
            <v>60000000</v>
          </cell>
          <cell r="K6">
            <v>600000</v>
          </cell>
          <cell r="L6">
            <v>1108230</v>
          </cell>
          <cell r="M6">
            <v>61708230</v>
          </cell>
          <cell r="N6">
            <v>1235240</v>
          </cell>
          <cell r="O6">
            <v>62943470</v>
          </cell>
          <cell r="P6">
            <v>35832</v>
          </cell>
          <cell r="Q6">
            <v>35921</v>
          </cell>
          <cell r="R6">
            <v>35982</v>
          </cell>
          <cell r="S6" t="str">
            <v>경기 양주군 은현면 봉암리 414-6</v>
          </cell>
          <cell r="T6" t="str">
            <v>482-860</v>
          </cell>
          <cell r="U6" t="str">
            <v>0351-64-2221</v>
          </cell>
          <cell r="V6">
            <v>89</v>
          </cell>
          <cell r="X6">
            <v>63572904.700000003</v>
          </cell>
        </row>
        <row r="7">
          <cell r="A7">
            <v>4</v>
          </cell>
          <cell r="B7" t="str">
            <v>455('98. 2.10)</v>
          </cell>
          <cell r="C7">
            <v>9820104</v>
          </cell>
          <cell r="D7">
            <v>35831</v>
          </cell>
          <cell r="E7" t="str">
            <v>(주)천보콘크리트</v>
          </cell>
          <cell r="F7" t="str">
            <v>최종성</v>
          </cell>
          <cell r="G7" t="str">
            <v>고압 블럭</v>
          </cell>
          <cell r="H7">
            <v>6000</v>
          </cell>
          <cell r="I7" t="str">
            <v>T</v>
          </cell>
          <cell r="J7">
            <v>60000000</v>
          </cell>
          <cell r="K7">
            <v>600000</v>
          </cell>
          <cell r="L7">
            <v>1108230</v>
          </cell>
          <cell r="M7">
            <v>61708230</v>
          </cell>
          <cell r="N7">
            <v>1215320</v>
          </cell>
          <cell r="O7">
            <v>62923550</v>
          </cell>
          <cell r="P7">
            <v>35832</v>
          </cell>
          <cell r="Q7">
            <v>35921</v>
          </cell>
          <cell r="R7">
            <v>35982</v>
          </cell>
          <cell r="S7" t="str">
            <v>경기 양주군 은현면 용암리 705-2</v>
          </cell>
          <cell r="T7" t="str">
            <v>482-860</v>
          </cell>
          <cell r="U7" t="str">
            <v>997-5181</v>
          </cell>
          <cell r="V7">
            <v>89</v>
          </cell>
          <cell r="X7">
            <v>63552785.5</v>
          </cell>
        </row>
        <row r="8">
          <cell r="A8">
            <v>5</v>
          </cell>
          <cell r="B8" t="str">
            <v>423('98. 2. 10)</v>
          </cell>
          <cell r="C8">
            <v>9820108</v>
          </cell>
          <cell r="D8">
            <v>35831</v>
          </cell>
          <cell r="E8" t="str">
            <v>공영물산(주)</v>
          </cell>
          <cell r="F8" t="str">
            <v>신현태</v>
          </cell>
          <cell r="G8" t="str">
            <v>보차도콘크리트 조립블록</v>
          </cell>
          <cell r="H8">
            <v>17650</v>
          </cell>
          <cell r="I8" t="str">
            <v>㎡</v>
          </cell>
          <cell r="J8">
            <v>100000000</v>
          </cell>
          <cell r="K8">
            <v>1000000</v>
          </cell>
          <cell r="L8">
            <v>1847050</v>
          </cell>
          <cell r="M8">
            <v>102847050</v>
          </cell>
          <cell r="N8">
            <v>2025530</v>
          </cell>
          <cell r="O8">
            <v>104872580</v>
          </cell>
          <cell r="P8">
            <v>35832</v>
          </cell>
          <cell r="Q8">
            <v>35921</v>
          </cell>
          <cell r="R8">
            <v>35982</v>
          </cell>
          <cell r="S8" t="str">
            <v>경기 화성군 태안읍 능리 714-2</v>
          </cell>
          <cell r="T8" t="str">
            <v>445-970</v>
          </cell>
          <cell r="U8" t="str">
            <v>0331-33-4583</v>
          </cell>
          <cell r="V8">
            <v>89</v>
          </cell>
          <cell r="X8">
            <v>105921305.8</v>
          </cell>
        </row>
        <row r="9">
          <cell r="A9">
            <v>6</v>
          </cell>
          <cell r="B9" t="str">
            <v>423('98. 2. 10)</v>
          </cell>
          <cell r="C9">
            <v>9820109</v>
          </cell>
          <cell r="D9">
            <v>35831</v>
          </cell>
          <cell r="E9" t="str">
            <v>(주)태성</v>
          </cell>
          <cell r="F9" t="str">
            <v>이상근</v>
          </cell>
          <cell r="G9" t="str">
            <v>보차도콘크리트 인터로킹블록</v>
          </cell>
          <cell r="H9">
            <v>17650</v>
          </cell>
          <cell r="I9" t="str">
            <v>㎡</v>
          </cell>
          <cell r="J9">
            <v>100000000</v>
          </cell>
          <cell r="K9">
            <v>1000000</v>
          </cell>
          <cell r="L9">
            <v>1847050</v>
          </cell>
          <cell r="M9">
            <v>102847050</v>
          </cell>
          <cell r="N9">
            <v>2025530</v>
          </cell>
          <cell r="O9">
            <v>104872580</v>
          </cell>
          <cell r="P9">
            <v>35832</v>
          </cell>
          <cell r="Q9">
            <v>35921</v>
          </cell>
          <cell r="R9">
            <v>35982</v>
          </cell>
          <cell r="S9" t="str">
            <v>경기 이천군 호법면 안평리 151</v>
          </cell>
          <cell r="T9" t="str">
            <v>467-820</v>
          </cell>
          <cell r="U9" t="str">
            <v>0336-636-9991</v>
          </cell>
          <cell r="V9">
            <v>89</v>
          </cell>
          <cell r="X9">
            <v>105921305.8</v>
          </cell>
        </row>
        <row r="10">
          <cell r="A10">
            <v>7</v>
          </cell>
          <cell r="B10" t="str">
            <v>423('98. 2. 10)</v>
          </cell>
          <cell r="C10">
            <v>9820136</v>
          </cell>
          <cell r="D10">
            <v>35832</v>
          </cell>
          <cell r="E10" t="str">
            <v>(주)부건</v>
          </cell>
          <cell r="F10" t="str">
            <v>빈종구</v>
          </cell>
          <cell r="G10" t="str">
            <v>보차도콘크리트 인터로킹블록</v>
          </cell>
          <cell r="H10">
            <v>19000</v>
          </cell>
          <cell r="I10" t="str">
            <v>㎡</v>
          </cell>
          <cell r="J10">
            <v>150000000</v>
          </cell>
          <cell r="K10">
            <v>1500000</v>
          </cell>
          <cell r="L10">
            <v>2770580</v>
          </cell>
          <cell r="M10">
            <v>154270580</v>
          </cell>
          <cell r="N10">
            <v>3038300</v>
          </cell>
          <cell r="O10">
            <v>157308880</v>
          </cell>
          <cell r="P10">
            <v>35833</v>
          </cell>
          <cell r="Q10">
            <v>35922</v>
          </cell>
          <cell r="R10">
            <v>35983</v>
          </cell>
          <cell r="S10" t="str">
            <v>인천시 서구 가좌동 602-24</v>
          </cell>
          <cell r="T10" t="str">
            <v>404-230</v>
          </cell>
          <cell r="U10" t="str">
            <v>032-578-6001</v>
          </cell>
          <cell r="V10">
            <v>89</v>
          </cell>
          <cell r="X10">
            <v>158881968.80000001</v>
          </cell>
        </row>
        <row r="11">
          <cell r="A11">
            <v>2</v>
          </cell>
          <cell r="B11" t="str">
            <v>455('98. 2.10)</v>
          </cell>
          <cell r="C11">
            <v>9820090</v>
          </cell>
          <cell r="D11">
            <v>35830</v>
          </cell>
          <cell r="E11" t="str">
            <v>(주)양산</v>
          </cell>
          <cell r="F11" t="str">
            <v>양옥승</v>
          </cell>
          <cell r="G11" t="str">
            <v>보차도콘크리트 인터로킹블록</v>
          </cell>
          <cell r="H11">
            <v>10587</v>
          </cell>
          <cell r="I11" t="str">
            <v>㎡</v>
          </cell>
          <cell r="J11">
            <v>60000000</v>
          </cell>
          <cell r="K11">
            <v>600000</v>
          </cell>
          <cell r="L11">
            <v>1108230</v>
          </cell>
          <cell r="M11">
            <v>61708230</v>
          </cell>
          <cell r="N11">
            <v>1235240</v>
          </cell>
          <cell r="O11">
            <v>62943470</v>
          </cell>
          <cell r="P11">
            <v>35832</v>
          </cell>
          <cell r="Q11">
            <v>35921</v>
          </cell>
          <cell r="R11">
            <v>35982</v>
          </cell>
          <cell r="S11" t="str">
            <v>경기 양주군 은현면 봉암리 414-6</v>
          </cell>
          <cell r="T11" t="str">
            <v>482-860</v>
          </cell>
          <cell r="U11" t="str">
            <v>0351-64-2221</v>
          </cell>
          <cell r="V11">
            <v>89</v>
          </cell>
          <cell r="X11">
            <v>63572904.700000003</v>
          </cell>
        </row>
        <row r="12">
          <cell r="A12">
            <v>9</v>
          </cell>
          <cell r="B12" t="str">
            <v>442('98. 2. 10)</v>
          </cell>
          <cell r="C12">
            <v>9820138</v>
          </cell>
          <cell r="D12">
            <v>35832</v>
          </cell>
          <cell r="E12" t="str">
            <v>신창기업(주)</v>
          </cell>
          <cell r="F12" t="str">
            <v>홍기표</v>
          </cell>
          <cell r="G12" t="str">
            <v>호안 블록</v>
          </cell>
          <cell r="H12">
            <v>8413</v>
          </cell>
          <cell r="I12" t="str">
            <v>㎡</v>
          </cell>
          <cell r="J12">
            <v>60000000</v>
          </cell>
          <cell r="K12">
            <v>600000</v>
          </cell>
          <cell r="L12">
            <v>1108230</v>
          </cell>
          <cell r="M12">
            <v>61708230</v>
          </cell>
          <cell r="N12">
            <v>1215320</v>
          </cell>
          <cell r="O12">
            <v>62923550</v>
          </cell>
          <cell r="P12">
            <v>35833</v>
          </cell>
          <cell r="Q12">
            <v>35922</v>
          </cell>
          <cell r="R12">
            <v>35983</v>
          </cell>
          <cell r="S12" t="str">
            <v>전북 정읍시 정우면 수금리 600</v>
          </cell>
          <cell r="T12" t="str">
            <v>580-820</v>
          </cell>
          <cell r="U12" t="str">
            <v>0681-537-2500</v>
          </cell>
          <cell r="V12">
            <v>89</v>
          </cell>
          <cell r="X12">
            <v>63552785.5</v>
          </cell>
        </row>
        <row r="13">
          <cell r="A13">
            <v>10</v>
          </cell>
          <cell r="B13" t="str">
            <v>442('98. 2. 10)</v>
          </cell>
          <cell r="C13">
            <v>9820146</v>
          </cell>
          <cell r="D13">
            <v>35835</v>
          </cell>
          <cell r="E13" t="str">
            <v>한국ILB(주)</v>
          </cell>
          <cell r="F13" t="str">
            <v>황기식</v>
          </cell>
          <cell r="G13" t="str">
            <v>조립 블럭</v>
          </cell>
          <cell r="H13">
            <v>7200</v>
          </cell>
          <cell r="I13" t="str">
            <v>본</v>
          </cell>
          <cell r="J13">
            <v>60000000</v>
          </cell>
          <cell r="K13">
            <v>600000</v>
          </cell>
          <cell r="L13">
            <v>1108230</v>
          </cell>
          <cell r="M13">
            <v>61708230</v>
          </cell>
          <cell r="N13">
            <v>1215320</v>
          </cell>
          <cell r="O13">
            <v>62923550</v>
          </cell>
          <cell r="P13">
            <v>35836</v>
          </cell>
          <cell r="Q13">
            <v>35925</v>
          </cell>
          <cell r="R13">
            <v>35986</v>
          </cell>
          <cell r="S13" t="str">
            <v>서울 서초구 양재동84-4(영진빌딩201)</v>
          </cell>
          <cell r="T13" t="str">
            <v>137-130</v>
          </cell>
          <cell r="U13" t="str">
            <v>529-2388</v>
          </cell>
          <cell r="V13">
            <v>89</v>
          </cell>
          <cell r="X13">
            <v>63552785.5</v>
          </cell>
          <cell r="Y13">
            <v>-600000</v>
          </cell>
        </row>
        <row r="14">
          <cell r="A14">
            <v>11</v>
          </cell>
          <cell r="B14" t="str">
            <v>442('98. 2. 10)</v>
          </cell>
          <cell r="C14">
            <v>9820147</v>
          </cell>
          <cell r="D14">
            <v>35835</v>
          </cell>
          <cell r="E14" t="str">
            <v>성우콘크리트(주)</v>
          </cell>
          <cell r="F14" t="str">
            <v>노승택</v>
          </cell>
          <cell r="G14" t="str">
            <v>보차도콘크리트 인터로킹블록</v>
          </cell>
          <cell r="H14">
            <v>28150</v>
          </cell>
          <cell r="I14" t="str">
            <v>㎡</v>
          </cell>
          <cell r="J14">
            <v>60000000</v>
          </cell>
          <cell r="K14">
            <v>600000</v>
          </cell>
          <cell r="L14">
            <v>1108230</v>
          </cell>
          <cell r="M14">
            <v>61708230</v>
          </cell>
          <cell r="N14">
            <v>1215320</v>
          </cell>
          <cell r="O14">
            <v>62923550</v>
          </cell>
          <cell r="P14">
            <v>35836</v>
          </cell>
          <cell r="Q14">
            <v>35925</v>
          </cell>
          <cell r="R14">
            <v>35986</v>
          </cell>
          <cell r="S14" t="str">
            <v>서울시 강남구 역삼동 828-30</v>
          </cell>
          <cell r="T14" t="str">
            <v>135-080</v>
          </cell>
          <cell r="U14" t="str">
            <v>568-4028</v>
          </cell>
          <cell r="V14">
            <v>89</v>
          </cell>
          <cell r="X14">
            <v>63552785.5</v>
          </cell>
          <cell r="Y14">
            <v>-800000</v>
          </cell>
        </row>
        <row r="15">
          <cell r="A15">
            <v>12</v>
          </cell>
          <cell r="B15" t="str">
            <v>442('98. 2. 10)</v>
          </cell>
          <cell r="C15">
            <v>9820154</v>
          </cell>
          <cell r="D15">
            <v>35835</v>
          </cell>
          <cell r="E15" t="str">
            <v>대왕콘크리트</v>
          </cell>
          <cell r="F15" t="str">
            <v>정상준</v>
          </cell>
          <cell r="G15" t="str">
            <v>콘크리트 벽돌</v>
          </cell>
          <cell r="H15">
            <v>1515151</v>
          </cell>
          <cell r="I15" t="str">
            <v>매</v>
          </cell>
          <cell r="J15">
            <v>60000000</v>
          </cell>
          <cell r="K15">
            <v>600000</v>
          </cell>
          <cell r="L15">
            <v>1108230</v>
          </cell>
          <cell r="M15">
            <v>61708230</v>
          </cell>
          <cell r="N15">
            <v>1215320</v>
          </cell>
          <cell r="O15">
            <v>62923550</v>
          </cell>
          <cell r="P15">
            <v>35836</v>
          </cell>
          <cell r="Q15">
            <v>35925</v>
          </cell>
          <cell r="R15">
            <v>35986</v>
          </cell>
          <cell r="S15" t="str">
            <v>부산시 북구 화명동 949</v>
          </cell>
          <cell r="T15" t="str">
            <v>616-120</v>
          </cell>
          <cell r="U15" t="str">
            <v>051-334-0221</v>
          </cell>
          <cell r="V15">
            <v>89</v>
          </cell>
          <cell r="X15">
            <v>63552785.5</v>
          </cell>
          <cell r="Y15">
            <v>-650000</v>
          </cell>
        </row>
        <row r="16">
          <cell r="A16">
            <v>2</v>
          </cell>
          <cell r="B16" t="str">
            <v>455('98. 2.10)</v>
          </cell>
          <cell r="C16">
            <v>9820090</v>
          </cell>
          <cell r="D16">
            <v>35830</v>
          </cell>
          <cell r="E16" t="str">
            <v>(주)양산</v>
          </cell>
          <cell r="F16" t="str">
            <v>양옥승</v>
          </cell>
          <cell r="G16" t="str">
            <v>보차도콘크리트 인터로킹블록</v>
          </cell>
          <cell r="H16">
            <v>10587</v>
          </cell>
          <cell r="I16" t="str">
            <v>㎡</v>
          </cell>
          <cell r="J16">
            <v>60000000</v>
          </cell>
          <cell r="K16">
            <v>600000</v>
          </cell>
          <cell r="L16">
            <v>1108230</v>
          </cell>
          <cell r="M16">
            <v>61708230</v>
          </cell>
          <cell r="N16">
            <v>1235240</v>
          </cell>
          <cell r="O16">
            <v>62943470</v>
          </cell>
          <cell r="P16">
            <v>35832</v>
          </cell>
          <cell r="Q16">
            <v>35921</v>
          </cell>
          <cell r="R16">
            <v>35982</v>
          </cell>
          <cell r="S16" t="str">
            <v>경기 양주군 은현면 봉암리 414-6</v>
          </cell>
          <cell r="T16" t="str">
            <v>482-860</v>
          </cell>
          <cell r="U16" t="str">
            <v>0351-64-2221</v>
          </cell>
          <cell r="V16">
            <v>89</v>
          </cell>
          <cell r="X16">
            <v>63572904.700000003</v>
          </cell>
        </row>
        <row r="17">
          <cell r="A17">
            <v>14</v>
          </cell>
          <cell r="B17" t="str">
            <v>442('98. 2. 10)</v>
          </cell>
          <cell r="C17">
            <v>9820156</v>
          </cell>
          <cell r="D17">
            <v>35835</v>
          </cell>
          <cell r="E17" t="str">
            <v>(주)농지개량</v>
          </cell>
          <cell r="F17" t="str">
            <v>신민식</v>
          </cell>
          <cell r="G17" t="str">
            <v>철근콘크리트수도형 플름관</v>
          </cell>
          <cell r="H17">
            <v>888</v>
          </cell>
          <cell r="I17" t="str">
            <v>본</v>
          </cell>
          <cell r="J17">
            <v>60000000</v>
          </cell>
          <cell r="K17">
            <v>600000</v>
          </cell>
          <cell r="L17">
            <v>1108230</v>
          </cell>
          <cell r="M17">
            <v>61708230</v>
          </cell>
          <cell r="N17">
            <v>1215320</v>
          </cell>
          <cell r="O17">
            <v>62923550</v>
          </cell>
          <cell r="P17">
            <v>35836</v>
          </cell>
          <cell r="Q17">
            <v>35925</v>
          </cell>
          <cell r="R17">
            <v>35986</v>
          </cell>
          <cell r="S17" t="str">
            <v>경북 의성군 단인면 가원리 133-7</v>
          </cell>
          <cell r="T17" t="str">
            <v>769-970</v>
          </cell>
          <cell r="U17" t="str">
            <v>0576-861-9141</v>
          </cell>
          <cell r="V17">
            <v>89</v>
          </cell>
          <cell r="X17">
            <v>63552785.5</v>
          </cell>
        </row>
        <row r="18">
          <cell r="A18">
            <v>15</v>
          </cell>
          <cell r="B18" t="str">
            <v>442('98. 2. 10)</v>
          </cell>
          <cell r="C18">
            <v>9820157</v>
          </cell>
          <cell r="D18">
            <v>35835</v>
          </cell>
          <cell r="E18" t="str">
            <v>(주)조일콘크리트</v>
          </cell>
          <cell r="F18" t="str">
            <v>신기범</v>
          </cell>
          <cell r="G18" t="str">
            <v>보차도콘크리트 인터로킹블록</v>
          </cell>
          <cell r="H18">
            <v>4550</v>
          </cell>
          <cell r="I18" t="str">
            <v>㎡</v>
          </cell>
          <cell r="J18">
            <v>60000000</v>
          </cell>
          <cell r="K18">
            <v>600000</v>
          </cell>
          <cell r="L18">
            <v>1108230</v>
          </cell>
          <cell r="M18">
            <v>61708230</v>
          </cell>
          <cell r="N18">
            <v>1215320</v>
          </cell>
          <cell r="O18">
            <v>62923550</v>
          </cell>
          <cell r="P18">
            <v>35836</v>
          </cell>
          <cell r="Q18">
            <v>35925</v>
          </cell>
          <cell r="R18">
            <v>35986</v>
          </cell>
          <cell r="S18" t="str">
            <v>경북 경산시 진량읍 다문리 135-1</v>
          </cell>
          <cell r="T18" t="str">
            <v>712-830</v>
          </cell>
          <cell r="U18" t="str">
            <v>053-851-7700</v>
          </cell>
          <cell r="V18">
            <v>89</v>
          </cell>
          <cell r="X18">
            <v>63552785.5</v>
          </cell>
        </row>
        <row r="19">
          <cell r="A19">
            <v>16</v>
          </cell>
          <cell r="B19" t="str">
            <v>442('98. 2. 10)</v>
          </cell>
          <cell r="C19">
            <v>9820158</v>
          </cell>
          <cell r="D19">
            <v>35835</v>
          </cell>
          <cell r="E19" t="str">
            <v>전진콘크리트(주)</v>
          </cell>
          <cell r="F19" t="str">
            <v>김정규</v>
          </cell>
          <cell r="G19" t="str">
            <v>철근콘크리트수도형 플름관</v>
          </cell>
          <cell r="H19">
            <v>888</v>
          </cell>
          <cell r="I19" t="str">
            <v>본</v>
          </cell>
          <cell r="J19">
            <v>55000000</v>
          </cell>
          <cell r="K19">
            <v>550000</v>
          </cell>
          <cell r="L19">
            <v>1015880</v>
          </cell>
          <cell r="M19">
            <v>56565880</v>
          </cell>
          <cell r="N19">
            <v>1114040</v>
          </cell>
          <cell r="O19">
            <v>57679920</v>
          </cell>
          <cell r="P19">
            <v>35836</v>
          </cell>
          <cell r="Q19">
            <v>35925</v>
          </cell>
          <cell r="R19">
            <v>35986</v>
          </cell>
          <cell r="S19" t="str">
            <v>경북 상주시 헌신동 285-2</v>
          </cell>
          <cell r="T19" t="str">
            <v>742-330</v>
          </cell>
          <cell r="U19" t="str">
            <v>0582-33-1652</v>
          </cell>
          <cell r="V19">
            <v>89</v>
          </cell>
          <cell r="X19">
            <v>58256719.200000003</v>
          </cell>
        </row>
        <row r="20">
          <cell r="A20">
            <v>17</v>
          </cell>
          <cell r="B20" t="str">
            <v>387('98. 2. 5)</v>
          </cell>
          <cell r="C20">
            <v>9820159</v>
          </cell>
          <cell r="D20">
            <v>35835</v>
          </cell>
          <cell r="E20" t="str">
            <v>대왕콘크리트</v>
          </cell>
          <cell r="F20" t="str">
            <v>정상준</v>
          </cell>
          <cell r="G20" t="str">
            <v>철근콘크리트수도형 플름관</v>
          </cell>
          <cell r="H20">
            <v>953</v>
          </cell>
          <cell r="I20" t="str">
            <v>본</v>
          </cell>
          <cell r="J20">
            <v>60000000</v>
          </cell>
          <cell r="K20">
            <v>600000</v>
          </cell>
          <cell r="L20">
            <v>1108230</v>
          </cell>
          <cell r="M20">
            <v>61708230</v>
          </cell>
          <cell r="N20">
            <v>1215320</v>
          </cell>
          <cell r="O20">
            <v>62923550</v>
          </cell>
          <cell r="P20">
            <v>35836</v>
          </cell>
          <cell r="Q20">
            <v>35925</v>
          </cell>
          <cell r="R20">
            <v>35986</v>
          </cell>
          <cell r="S20" t="str">
            <v>경남 함안군 칠원면 유원리 1435-5</v>
          </cell>
          <cell r="T20" t="str">
            <v>637-920</v>
          </cell>
          <cell r="U20" t="str">
            <v>0552-586-0222-3</v>
          </cell>
          <cell r="V20">
            <v>89</v>
          </cell>
          <cell r="X20">
            <v>63552785.5</v>
          </cell>
          <cell r="Y20">
            <v>-650000</v>
          </cell>
        </row>
        <row r="21">
          <cell r="A21">
            <v>18</v>
          </cell>
          <cell r="B21" t="str">
            <v>387('98. 2. 5)</v>
          </cell>
          <cell r="C21">
            <v>9820160</v>
          </cell>
          <cell r="D21">
            <v>35835</v>
          </cell>
          <cell r="E21" t="str">
            <v>신광콘크리트(주)</v>
          </cell>
          <cell r="F21" t="str">
            <v>이병무</v>
          </cell>
          <cell r="G21" t="str">
            <v>보차도콘크리트 인터로킹블록</v>
          </cell>
          <cell r="H21">
            <v>14200</v>
          </cell>
          <cell r="I21" t="str">
            <v>㎡</v>
          </cell>
          <cell r="J21">
            <v>60000000</v>
          </cell>
          <cell r="K21">
            <v>600000</v>
          </cell>
          <cell r="L21">
            <v>1108230</v>
          </cell>
          <cell r="M21">
            <v>61708230</v>
          </cell>
          <cell r="N21">
            <v>1215320</v>
          </cell>
          <cell r="O21">
            <v>62923550</v>
          </cell>
          <cell r="P21">
            <v>35836</v>
          </cell>
          <cell r="Q21">
            <v>35925</v>
          </cell>
          <cell r="R21">
            <v>35986</v>
          </cell>
          <cell r="S21" t="str">
            <v>서울시 성북구 석관동 238-4</v>
          </cell>
          <cell r="T21" t="str">
            <v>136-150</v>
          </cell>
          <cell r="U21" t="str">
            <v>972-4231</v>
          </cell>
          <cell r="V21">
            <v>89</v>
          </cell>
          <cell r="X21">
            <v>63552785.5</v>
          </cell>
        </row>
        <row r="22">
          <cell r="A22">
            <v>2</v>
          </cell>
          <cell r="B22" t="str">
            <v>455('98. 2.10)</v>
          </cell>
          <cell r="C22">
            <v>9820090</v>
          </cell>
          <cell r="D22">
            <v>35830</v>
          </cell>
          <cell r="E22" t="str">
            <v>(주)양산</v>
          </cell>
          <cell r="F22" t="str">
            <v>양옥승</v>
          </cell>
          <cell r="G22" t="str">
            <v>보차도콘크리트 인터로킹블록</v>
          </cell>
          <cell r="H22">
            <v>10587</v>
          </cell>
          <cell r="I22" t="str">
            <v>㎡</v>
          </cell>
          <cell r="J22">
            <v>60000000</v>
          </cell>
          <cell r="K22">
            <v>600000</v>
          </cell>
          <cell r="L22">
            <v>1108230</v>
          </cell>
          <cell r="M22">
            <v>61708230</v>
          </cell>
          <cell r="N22">
            <v>1235240</v>
          </cell>
          <cell r="O22">
            <v>62943470</v>
          </cell>
          <cell r="P22">
            <v>35832</v>
          </cell>
          <cell r="Q22">
            <v>35921</v>
          </cell>
          <cell r="R22">
            <v>35982</v>
          </cell>
          <cell r="S22" t="str">
            <v>경기 양주군 은현면 봉암리 414-6</v>
          </cell>
          <cell r="T22" t="str">
            <v>482-860</v>
          </cell>
          <cell r="U22" t="str">
            <v>0351-64-2221</v>
          </cell>
          <cell r="V22">
            <v>89</v>
          </cell>
          <cell r="X22">
            <v>63572904.700000003</v>
          </cell>
        </row>
        <row r="23">
          <cell r="A23">
            <v>20</v>
          </cell>
          <cell r="B23" t="str">
            <v>406('98. 2. 5)</v>
          </cell>
          <cell r="C23">
            <v>9820162</v>
          </cell>
          <cell r="D23">
            <v>35835</v>
          </cell>
          <cell r="E23" t="str">
            <v>홍익콘크리트(주)</v>
          </cell>
          <cell r="F23" t="str">
            <v>박진우</v>
          </cell>
          <cell r="G23" t="str">
            <v>철근콘크리트 플륨관</v>
          </cell>
          <cell r="H23">
            <v>1400</v>
          </cell>
          <cell r="I23" t="str">
            <v>본</v>
          </cell>
          <cell r="J23">
            <v>60000000</v>
          </cell>
          <cell r="K23">
            <v>600000</v>
          </cell>
          <cell r="L23">
            <v>1108230</v>
          </cell>
          <cell r="M23">
            <v>61708230</v>
          </cell>
          <cell r="N23">
            <v>1215320</v>
          </cell>
          <cell r="O23">
            <v>62923550</v>
          </cell>
          <cell r="P23">
            <v>35836</v>
          </cell>
          <cell r="Q23">
            <v>35925</v>
          </cell>
          <cell r="R23">
            <v>35986</v>
          </cell>
          <cell r="S23" t="str">
            <v>경기 화성군 팔탄면 덕우리 84-3</v>
          </cell>
          <cell r="T23" t="str">
            <v>445-910</v>
          </cell>
          <cell r="U23" t="str">
            <v>0331-256-5222</v>
          </cell>
          <cell r="V23">
            <v>89</v>
          </cell>
          <cell r="X23">
            <v>63552785.5</v>
          </cell>
        </row>
        <row r="24">
          <cell r="A24">
            <v>21</v>
          </cell>
          <cell r="B24" t="str">
            <v>406('98. 2. 5)</v>
          </cell>
          <cell r="C24">
            <v>9820163</v>
          </cell>
          <cell r="D24">
            <v>35835</v>
          </cell>
          <cell r="E24" t="str">
            <v>(주)기성콘크리트</v>
          </cell>
          <cell r="F24" t="str">
            <v>이준근</v>
          </cell>
          <cell r="G24" t="str">
            <v>인조 경계석</v>
          </cell>
          <cell r="H24">
            <v>7060</v>
          </cell>
          <cell r="I24" t="str">
            <v>개</v>
          </cell>
          <cell r="J24">
            <v>60000000</v>
          </cell>
          <cell r="K24">
            <v>600000</v>
          </cell>
          <cell r="L24">
            <v>1108230</v>
          </cell>
          <cell r="M24">
            <v>61708230</v>
          </cell>
          <cell r="N24">
            <v>1215320</v>
          </cell>
          <cell r="O24">
            <v>62923550</v>
          </cell>
          <cell r="P24">
            <v>35836</v>
          </cell>
          <cell r="Q24">
            <v>35925</v>
          </cell>
          <cell r="R24">
            <v>35986</v>
          </cell>
          <cell r="S24" t="str">
            <v>경기 용인군 수지면 죽전리 1030-4</v>
          </cell>
          <cell r="T24" t="str">
            <v>449-840</v>
          </cell>
          <cell r="U24" t="str">
            <v>0331-262-1029</v>
          </cell>
          <cell r="V24">
            <v>89</v>
          </cell>
          <cell r="X24">
            <v>63552785.5</v>
          </cell>
        </row>
        <row r="25">
          <cell r="A25">
            <v>22</v>
          </cell>
          <cell r="B25" t="str">
            <v>360('98. 2. 3)</v>
          </cell>
          <cell r="C25">
            <v>9820170</v>
          </cell>
          <cell r="D25">
            <v>35836</v>
          </cell>
          <cell r="E25" t="str">
            <v>(합)대동콘크리트</v>
          </cell>
          <cell r="F25" t="str">
            <v>박영규</v>
          </cell>
          <cell r="G25" t="str">
            <v>보차도콘크리트 인터로킹블록</v>
          </cell>
          <cell r="H25">
            <v>7300</v>
          </cell>
          <cell r="I25" t="str">
            <v>㎡</v>
          </cell>
          <cell r="J25">
            <v>48000000</v>
          </cell>
          <cell r="K25">
            <v>480000</v>
          </cell>
          <cell r="L25">
            <v>886580</v>
          </cell>
          <cell r="M25">
            <v>49366580</v>
          </cell>
          <cell r="N25">
            <v>972250</v>
          </cell>
          <cell r="O25">
            <v>50338830</v>
          </cell>
          <cell r="P25">
            <v>35837</v>
          </cell>
          <cell r="Q25">
            <v>35926</v>
          </cell>
          <cell r="R25">
            <v>35987</v>
          </cell>
          <cell r="S25" t="str">
            <v>경남 양산시 다방동 470-9</v>
          </cell>
          <cell r="T25" t="str">
            <v>626-020</v>
          </cell>
          <cell r="U25" t="str">
            <v>0523-82-3731</v>
          </cell>
          <cell r="V25">
            <v>89</v>
          </cell>
          <cell r="X25">
            <v>50842218.299999997</v>
          </cell>
          <cell r="Y25">
            <v>-817665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G20"/>
  <sheetViews>
    <sheetView tabSelected="1" view="pageBreakPreview" zoomScaleNormal="100" zoomScaleSheetLayoutView="100" workbookViewId="0">
      <selection activeCell="H12" sqref="H12"/>
    </sheetView>
  </sheetViews>
  <sheetFormatPr defaultColWidth="9" defaultRowHeight="16.5"/>
  <cols>
    <col min="1" max="1" width="28.375" style="1" bestFit="1" customWidth="1"/>
    <col min="2" max="2" width="19.625" style="1" bestFit="1" customWidth="1"/>
    <col min="3" max="3" width="57.125" style="1" bestFit="1" customWidth="1"/>
    <col min="4" max="4" width="13" style="55" bestFit="1" customWidth="1"/>
    <col min="5" max="6" width="21.5" style="135" customWidth="1"/>
    <col min="7" max="10" width="21.25" style="1" customWidth="1"/>
    <col min="11" max="16384" width="9" style="1"/>
  </cols>
  <sheetData>
    <row r="1" spans="1:6" s="68" customFormat="1" ht="50.1" customHeight="1">
      <c r="A1" s="309" t="s">
        <v>195</v>
      </c>
      <c r="B1" s="309"/>
      <c r="C1" s="309"/>
      <c r="D1" s="67"/>
      <c r="E1" s="141"/>
      <c r="F1" s="141"/>
    </row>
    <row r="2" spans="1:6">
      <c r="A2" s="161" t="s">
        <v>95</v>
      </c>
      <c r="B2"/>
      <c r="C2"/>
    </row>
    <row r="3" spans="1:6" ht="17.25" thickBot="1">
      <c r="A3"/>
      <c r="B3"/>
      <c r="C3" s="65"/>
    </row>
    <row r="4" spans="1:6" ht="22.5" customHeight="1">
      <c r="A4" s="52" t="s">
        <v>3</v>
      </c>
      <c r="B4" s="53" t="s">
        <v>4</v>
      </c>
      <c r="C4" s="54" t="s">
        <v>5</v>
      </c>
    </row>
    <row r="5" spans="1:6" ht="39.950000000000003" customHeight="1">
      <c r="A5" s="49" t="s">
        <v>151</v>
      </c>
      <c r="B5" s="39">
        <f>SUM(B6:B7)</f>
        <v>316798307</v>
      </c>
      <c r="C5" s="40"/>
      <c r="D5" s="58">
        <f>B5/$B$18</f>
        <v>0.53546793552298222</v>
      </c>
      <c r="E5" s="160">
        <f>'총괄(기술분야)'!B5+'총괄(건축)'!B5</f>
        <v>316798307</v>
      </c>
      <c r="F5" s="1"/>
    </row>
    <row r="6" spans="1:6" ht="59.25" customHeight="1">
      <c r="A6" s="44" t="s">
        <v>197</v>
      </c>
      <c r="B6" s="41">
        <f>'총괄(기술분야)'!B5</f>
        <v>284001768</v>
      </c>
      <c r="C6" s="138" t="s">
        <v>211</v>
      </c>
      <c r="F6" s="1"/>
    </row>
    <row r="7" spans="1:6" ht="57" customHeight="1">
      <c r="A7" s="66" t="s">
        <v>196</v>
      </c>
      <c r="B7" s="41">
        <f>'총괄(건축)'!B5</f>
        <v>32796539</v>
      </c>
      <c r="C7" s="138" t="s">
        <v>198</v>
      </c>
      <c r="F7" s="1"/>
    </row>
    <row r="8" spans="1:6" ht="39.950000000000003" customHeight="1">
      <c r="A8" s="49" t="s">
        <v>152</v>
      </c>
      <c r="B8" s="39">
        <f>SUM(B9:B14)</f>
        <v>129123600</v>
      </c>
      <c r="C8" s="45"/>
      <c r="D8" s="58">
        <f>B8/$B$18</f>
        <v>0.21825100068888734</v>
      </c>
      <c r="E8" s="160">
        <f>'총괄(기술분야)'!B9+'총괄(건축)'!B9</f>
        <v>129123600</v>
      </c>
      <c r="F8" s="64"/>
    </row>
    <row r="9" spans="1:6" ht="39.950000000000003" customHeight="1">
      <c r="A9" s="139" t="str">
        <f>'총괄(기술분야)'!A10</f>
        <v xml:space="preserve">   가) 국외여비 (현지조사비)</v>
      </c>
      <c r="B9" s="41">
        <f>'총괄(기술분야)'!B10+'총괄(건축)'!B10</f>
        <v>51798600</v>
      </c>
      <c r="C9" s="134" t="s">
        <v>149</v>
      </c>
      <c r="D9" s="137">
        <f>B9/$B$18</f>
        <v>8.7552517775862815E-2</v>
      </c>
      <c r="F9" s="1"/>
    </row>
    <row r="10" spans="1:6" ht="39.950000000000003" customHeight="1">
      <c r="A10" s="139" t="str">
        <f>'총괄(기술분야)'!A11</f>
        <v xml:space="preserve">   나) 국내여비 </v>
      </c>
      <c r="B10" s="41">
        <f>'총괄(기술분야)'!B11+'총괄(건축)'!B11</f>
        <v>1800000</v>
      </c>
      <c r="C10" s="140" t="s">
        <v>150</v>
      </c>
      <c r="F10" s="1"/>
    </row>
    <row r="11" spans="1:6" ht="39.950000000000003" customHeight="1">
      <c r="A11" s="139" t="str">
        <f>'총괄(기술분야)'!A12</f>
        <v xml:space="preserve">   다) 초청연수</v>
      </c>
      <c r="B11" s="41">
        <f>'총괄(기술분야)'!B12</f>
        <v>48000000</v>
      </c>
      <c r="C11" s="134" t="s">
        <v>103</v>
      </c>
      <c r="D11" s="137">
        <f>B11/$B$18</f>
        <v>8.1131938956678654E-2</v>
      </c>
      <c r="F11" s="1"/>
    </row>
    <row r="12" spans="1:6" ht="39.950000000000003" customHeight="1">
      <c r="A12" s="139" t="str">
        <f>'총괄(기술분야)'!A13</f>
        <v xml:space="preserve">   마) 현지활동 지원비_워크숍</v>
      </c>
      <c r="B12" s="41">
        <f>'총괄(기술분야)'!B13</f>
        <v>6000000</v>
      </c>
      <c r="C12" s="134" t="s">
        <v>166</v>
      </c>
      <c r="D12" s="58">
        <f>B12/B18</f>
        <v>1.0141492369584832E-2</v>
      </c>
      <c r="E12" s="137"/>
      <c r="F12" s="64"/>
    </row>
    <row r="13" spans="1:6" ht="39.950000000000003" customHeight="1">
      <c r="A13" s="139" t="str">
        <f>'총괄(기술분야)'!A14</f>
        <v xml:space="preserve">   바) 회의비</v>
      </c>
      <c r="B13" s="41">
        <f>'총괄(기술분야)'!B14</f>
        <v>6200000</v>
      </c>
      <c r="C13" s="140" t="s">
        <v>94</v>
      </c>
      <c r="D13" s="137"/>
      <c r="E13" s="137"/>
      <c r="F13" s="64"/>
    </row>
    <row r="14" spans="1:6" ht="39.950000000000003" customHeight="1">
      <c r="A14" s="139" t="str">
        <f>'총괄(기술분야)'!A15</f>
        <v xml:space="preserve">   사) 유인물 및 교통통신비</v>
      </c>
      <c r="B14" s="41">
        <f>'총괄(기술분야)'!B15</f>
        <v>15325000</v>
      </c>
      <c r="C14" s="134" t="s">
        <v>81</v>
      </c>
      <c r="D14" s="58"/>
      <c r="E14" s="137"/>
      <c r="F14" s="64"/>
    </row>
    <row r="15" spans="1:6" ht="39.950000000000003" customHeight="1">
      <c r="A15" s="49" t="s">
        <v>153</v>
      </c>
      <c r="B15" s="42">
        <f>(B5+B8)*0.05</f>
        <v>22296095.350000001</v>
      </c>
      <c r="C15" s="46" t="s">
        <v>6</v>
      </c>
      <c r="D15" s="58">
        <f>B15/($B$5+$B$8)</f>
        <v>0.05</v>
      </c>
      <c r="E15" s="160">
        <f>'총괄(기술분야)'!B16+'총괄(건축)'!B12</f>
        <v>22296094</v>
      </c>
      <c r="F15" s="64"/>
    </row>
    <row r="16" spans="1:6" ht="39.950000000000003" customHeight="1">
      <c r="A16" s="49" t="s">
        <v>164</v>
      </c>
      <c r="B16" s="42">
        <f>(B5+B8+B15)*0.05</f>
        <v>23410900.117500003</v>
      </c>
      <c r="C16" s="46" t="s">
        <v>7</v>
      </c>
      <c r="D16" s="58">
        <f>B16/($B$5+$B$8+$B$15)</f>
        <v>0.05</v>
      </c>
      <c r="E16" s="160">
        <f>'총괄(기술분야)'!B17+'총괄(건축)'!B13</f>
        <v>23410899</v>
      </c>
      <c r="F16" s="1"/>
    </row>
    <row r="17" spans="1:7" ht="39.950000000000003" customHeight="1">
      <c r="A17" s="49" t="s">
        <v>165</v>
      </c>
      <c r="B17" s="42">
        <f>'총괄(기술분야)'!B18+'총괄(건축)'!B14</f>
        <v>100000000</v>
      </c>
      <c r="C17" s="134" t="s">
        <v>91</v>
      </c>
      <c r="D17" s="135"/>
      <c r="F17" s="1"/>
    </row>
    <row r="18" spans="1:7" ht="39.950000000000003" customHeight="1">
      <c r="A18" s="50" t="s">
        <v>161</v>
      </c>
      <c r="B18" s="42">
        <f>B5+B8+B15+B16+B17</f>
        <v>591628902.46749997</v>
      </c>
      <c r="C18" s="47" t="s">
        <v>8</v>
      </c>
      <c r="D18" s="89"/>
      <c r="E18" s="89">
        <f>'총괄(기술분야)'!B19+'총괄(건축)'!B15</f>
        <v>591628900</v>
      </c>
      <c r="F18" s="1"/>
    </row>
    <row r="19" spans="1:7" ht="39.950000000000003" customHeight="1">
      <c r="A19" s="50" t="s">
        <v>162</v>
      </c>
      <c r="B19" s="42">
        <f>B18*0.1</f>
        <v>59162890.246749997</v>
      </c>
      <c r="C19" s="47" t="s">
        <v>9</v>
      </c>
      <c r="E19" s="89">
        <f>'총괄(기술분야)'!B20+'총괄(건축)'!B16</f>
        <v>59162889.5</v>
      </c>
    </row>
    <row r="20" spans="1:7" ht="39.950000000000003" customHeight="1" thickBot="1">
      <c r="A20" s="51" t="s">
        <v>10</v>
      </c>
      <c r="B20" s="43">
        <f>ROUNDDOWN(B18+B19, -6)</f>
        <v>650000000</v>
      </c>
      <c r="C20" s="48" t="s">
        <v>212</v>
      </c>
      <c r="D20" s="89">
        <f>B18+B19</f>
        <v>650791792.71424997</v>
      </c>
      <c r="E20" s="89">
        <f>'총괄(기술분야)'!B21+'총괄(건축)'!B17</f>
        <v>650791790</v>
      </c>
      <c r="F20" s="89"/>
      <c r="G20" s="159"/>
    </row>
  </sheetData>
  <mergeCells count="1">
    <mergeCell ref="A1:C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1" manualBreakCount="1">
    <brk id="26" max="2" man="1"/>
  </rowBreaks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6"/>
  <sheetViews>
    <sheetView tabSelected="1" view="pageBreakPreview" zoomScaleNormal="100" zoomScaleSheetLayoutView="100" workbookViewId="0">
      <selection activeCell="H12" sqref="H12"/>
    </sheetView>
  </sheetViews>
  <sheetFormatPr defaultColWidth="9" defaultRowHeight="16.5"/>
  <cols>
    <col min="1" max="1" width="28.375" style="1" bestFit="1" customWidth="1"/>
    <col min="2" max="2" width="22" style="1" customWidth="1"/>
    <col min="3" max="3" width="38.125" style="1" customWidth="1"/>
    <col min="4" max="4" width="13.625" style="1" bestFit="1" customWidth="1"/>
    <col min="5" max="5" width="9" style="1"/>
    <col min="6" max="6" width="14.625" style="1" bestFit="1" customWidth="1"/>
    <col min="7" max="7" width="13" style="1" bestFit="1" customWidth="1"/>
    <col min="8" max="9" width="15.625" style="1" bestFit="1" customWidth="1"/>
    <col min="10" max="16384" width="9" style="1"/>
  </cols>
  <sheetData>
    <row r="1" spans="1:6" ht="40.5" customHeight="1">
      <c r="A1" s="310" t="str">
        <f>'총괄(컨소)'!A1:C1</f>
        <v>□ 사업명: 2024 K-City Network 베트남 하남성 홍강 주변지역 스마트시티 개발계획 수립</v>
      </c>
      <c r="B1" s="310"/>
      <c r="C1" s="310"/>
    </row>
    <row r="2" spans="1:6">
      <c r="A2" s="5"/>
      <c r="B2" s="5"/>
      <c r="C2" s="5"/>
    </row>
    <row r="3" spans="1:6" ht="17.25" thickBot="1">
      <c r="A3" s="6"/>
      <c r="B3" s="6"/>
      <c r="C3" s="90"/>
    </row>
    <row r="4" spans="1:6" ht="20.100000000000001" customHeight="1">
      <c r="A4" s="11" t="s">
        <v>0</v>
      </c>
      <c r="B4" s="12" t="s">
        <v>1</v>
      </c>
      <c r="C4" s="60" t="s">
        <v>21</v>
      </c>
    </row>
    <row r="5" spans="1:6" ht="39.950000000000003" customHeight="1">
      <c r="A5" s="2" t="str">
        <f>'세부내역(기술)'!A3</f>
        <v xml:space="preserve"> 1. 인건비</v>
      </c>
      <c r="B5" s="34">
        <f>'세부내역(기술)'!D4</f>
        <v>284001768</v>
      </c>
      <c r="C5" s="35"/>
    </row>
    <row r="6" spans="1:6" ht="39.950000000000003" customHeight="1">
      <c r="A6" s="13" t="s">
        <v>210</v>
      </c>
      <c r="B6" s="36">
        <f>'세부내역(기술)'!D5</f>
        <v>73900728</v>
      </c>
      <c r="C6" s="14" t="str">
        <f>'세부내역(기술)'!B5</f>
        <v xml:space="preserve"> 3인·8월 * 10,263,990원/월, 참여율 30%</v>
      </c>
    </row>
    <row r="7" spans="1:6" ht="39.950000000000003" customHeight="1">
      <c r="A7" s="13" t="s">
        <v>77</v>
      </c>
      <c r="B7" s="36">
        <f>'세부내역(기술)'!D6</f>
        <v>125924656</v>
      </c>
      <c r="C7" s="14" t="str">
        <f>'세부내역(기술)'!B6</f>
        <v xml:space="preserve"> 4인·8월 * 7,870,291원/월, 참여율 50%</v>
      </c>
    </row>
    <row r="8" spans="1:6" ht="39.950000000000003" customHeight="1">
      <c r="A8" s="13" t="s">
        <v>78</v>
      </c>
      <c r="B8" s="36">
        <f>'세부내역(기술)'!D7</f>
        <v>84176384</v>
      </c>
      <c r="C8" s="14" t="str">
        <f>'세부내역(기술)'!B7</f>
        <v xml:space="preserve"> 5인·8월 * 5,261,024원/월, 참여율 40%</v>
      </c>
    </row>
    <row r="9" spans="1:6" ht="39.950000000000003" customHeight="1">
      <c r="A9" s="2" t="str">
        <f>'세부내역(기술)'!A11</f>
        <v xml:space="preserve"> 2. 직접경비</v>
      </c>
      <c r="B9" s="34">
        <f>SUM(B10:B15)</f>
        <v>119758800</v>
      </c>
      <c r="C9" s="35"/>
    </row>
    <row r="10" spans="1:6" ht="39.950000000000003" customHeight="1">
      <c r="A10" s="62" t="str">
        <f>'세부내역(기술)'!A13</f>
        <v xml:space="preserve">   가) 국외여비 (현지조사비)</v>
      </c>
      <c r="B10" s="36">
        <f>'세부내역(기술)'!D13</f>
        <v>42733800</v>
      </c>
      <c r="C10" s="63" t="s">
        <v>93</v>
      </c>
    </row>
    <row r="11" spans="1:6" ht="39.950000000000003" customHeight="1">
      <c r="A11" s="62" t="str">
        <f>'세부내역(기술)'!A24</f>
        <v xml:space="preserve">   나) 국내여비 </v>
      </c>
      <c r="B11" s="36">
        <f>'세부내역(기술)'!D24</f>
        <v>1500000</v>
      </c>
      <c r="C11" s="63" t="s">
        <v>80</v>
      </c>
    </row>
    <row r="12" spans="1:6" ht="39.950000000000003" customHeight="1">
      <c r="A12" s="139" t="str">
        <f>'세부내역(기술)'!A27</f>
        <v xml:space="preserve">   다) 초청연수</v>
      </c>
      <c r="B12" s="36">
        <f>'세부내역(기술)'!D27</f>
        <v>48000000</v>
      </c>
      <c r="C12" s="134" t="s">
        <v>103</v>
      </c>
    </row>
    <row r="13" spans="1:6" ht="39.950000000000003" customHeight="1">
      <c r="A13" s="139" t="str">
        <f>'세부내역(기술)'!A42</f>
        <v xml:space="preserve">   마) 현지활동 지원비_워크숍</v>
      </c>
      <c r="B13" s="36">
        <f>'세부내역(기술)'!D42</f>
        <v>6000000</v>
      </c>
      <c r="C13" s="140"/>
    </row>
    <row r="14" spans="1:6" ht="39.950000000000003" customHeight="1">
      <c r="A14" s="139" t="str">
        <f>'세부내역(기술)'!A50</f>
        <v xml:space="preserve">   바) 회의비</v>
      </c>
      <c r="B14" s="36">
        <f>'세부내역(기술)'!D50</f>
        <v>6200000</v>
      </c>
      <c r="C14" s="140"/>
    </row>
    <row r="15" spans="1:6" ht="39.950000000000003" customHeight="1">
      <c r="A15" s="62" t="str">
        <f>'세부내역(기술)'!A56</f>
        <v xml:space="preserve">   사) 유인물 및 교통통신비</v>
      </c>
      <c r="B15" s="36">
        <f>'세부내역(기술)'!D56</f>
        <v>15325000</v>
      </c>
      <c r="C15" s="140" t="s">
        <v>143</v>
      </c>
    </row>
    <row r="16" spans="1:6" ht="39.950000000000003" customHeight="1">
      <c r="A16" s="2" t="str">
        <f>'세부내역(기술)'!A65</f>
        <v xml:space="preserve"> 3. 일반관리비</v>
      </c>
      <c r="B16" s="34">
        <f>'세부내역(기술)'!D66</f>
        <v>20188028</v>
      </c>
      <c r="C16" s="14" t="s">
        <v>6</v>
      </c>
      <c r="F16" s="231"/>
    </row>
    <row r="17" spans="1:9" ht="39.950000000000003" customHeight="1">
      <c r="A17" s="2" t="str">
        <f>'세부내역(기술)'!A68</f>
        <v xml:space="preserve"> 4. 이      윤</v>
      </c>
      <c r="B17" s="34">
        <f>'세부내역(기술)'!D69</f>
        <v>21197429</v>
      </c>
      <c r="C17" s="14" t="s">
        <v>7</v>
      </c>
    </row>
    <row r="18" spans="1:9" ht="39.950000000000003" customHeight="1">
      <c r="A18" s="271" t="str">
        <f>'세부내역(기술)'!A71</f>
        <v xml:space="preserve"> 5. 외부용역비 (업무위탁)</v>
      </c>
      <c r="B18" s="272">
        <f>'세부내역(기술)'!D71</f>
        <v>100000000</v>
      </c>
      <c r="C18" s="63" t="s">
        <v>201</v>
      </c>
    </row>
    <row r="19" spans="1:9" ht="39.950000000000003" customHeight="1">
      <c r="A19" s="3" t="str">
        <f>'세부내역(기술)'!A77</f>
        <v xml:space="preserve"> 6. 공급가액</v>
      </c>
      <c r="B19" s="37">
        <f>'세부내역(기술)'!D77</f>
        <v>545146025</v>
      </c>
      <c r="C19" s="15" t="s">
        <v>8</v>
      </c>
      <c r="G19" s="64"/>
      <c r="H19" s="231"/>
    </row>
    <row r="20" spans="1:9" ht="39.950000000000003" customHeight="1">
      <c r="A20" s="3" t="str">
        <f>'세부내역(기술)'!A79</f>
        <v xml:space="preserve"> 7. 부가가치세</v>
      </c>
      <c r="B20" s="37">
        <f>'세부내역(기술)'!D79</f>
        <v>54514602</v>
      </c>
      <c r="C20" s="15" t="s">
        <v>9</v>
      </c>
      <c r="H20" s="231"/>
      <c r="I20" s="231"/>
    </row>
    <row r="21" spans="1:9" ht="39.950000000000003" customHeight="1" thickBot="1">
      <c r="A21" s="4" t="s">
        <v>10</v>
      </c>
      <c r="B21" s="38">
        <f>'세부내역(기술)'!D81</f>
        <v>599660627</v>
      </c>
      <c r="C21" s="16" t="s">
        <v>11</v>
      </c>
      <c r="D21" s="64"/>
      <c r="E21" s="64"/>
      <c r="I21" s="231"/>
    </row>
    <row r="22" spans="1:9" ht="28.5" customHeight="1">
      <c r="B22" s="64"/>
    </row>
    <row r="23" spans="1:9">
      <c r="B23" s="9"/>
      <c r="C23" s="9"/>
    </row>
    <row r="24" spans="1:9">
      <c r="B24" s="7"/>
      <c r="C24" s="8"/>
    </row>
    <row r="25" spans="1:9">
      <c r="B25" s="7"/>
      <c r="C25" s="7"/>
    </row>
    <row r="26" spans="1:9">
      <c r="B26" s="10"/>
      <c r="C26" s="10"/>
    </row>
  </sheetData>
  <mergeCells count="1">
    <mergeCell ref="A1:C1"/>
  </mergeCells>
  <phoneticPr fontId="8" type="noConversion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95"/>
  <sheetViews>
    <sheetView tabSelected="1" view="pageBreakPreview" zoomScale="85" zoomScaleNormal="85" zoomScaleSheetLayoutView="85" workbookViewId="0">
      <selection activeCell="H12" sqref="H12"/>
    </sheetView>
  </sheetViews>
  <sheetFormatPr defaultRowHeight="13.5"/>
  <cols>
    <col min="1" max="1" width="30.25" style="17" customWidth="1"/>
    <col min="2" max="2" width="33.375" style="17" customWidth="1"/>
    <col min="3" max="3" width="20.625" style="17" customWidth="1"/>
    <col min="4" max="4" width="19.5" style="17" bestFit="1" customWidth="1"/>
    <col min="5" max="5" width="15.625" style="17" bestFit="1" customWidth="1"/>
    <col min="6" max="6" width="15.5" style="17" bestFit="1" customWidth="1"/>
    <col min="7" max="7" width="15.875" style="17" customWidth="1"/>
    <col min="8" max="8" width="11.625" style="17" bestFit="1" customWidth="1"/>
    <col min="9" max="9" width="17.5" style="17" bestFit="1" customWidth="1"/>
    <col min="10" max="10" width="11.5" style="17" bestFit="1" customWidth="1"/>
    <col min="11" max="11" width="9" style="17"/>
    <col min="12" max="12" width="14.375" style="17" bestFit="1" customWidth="1"/>
    <col min="13" max="13" width="15.625" style="17" bestFit="1" customWidth="1"/>
    <col min="14" max="16384" width="9" style="17"/>
  </cols>
  <sheetData>
    <row r="1" spans="1:14" ht="40.5" customHeight="1">
      <c r="A1" s="311" t="str">
        <f>'총괄(컨소)'!A1:C1</f>
        <v>□ 사업명: 2024 K-City Network 베트남 하남성 홍강 주변지역 스마트시티 개발계획 수립</v>
      </c>
      <c r="B1" s="311"/>
      <c r="C1" s="311"/>
      <c r="D1" s="311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8.75" customHeight="1">
      <c r="A2" s="18"/>
      <c r="B2" s="18"/>
      <c r="C2" s="18"/>
      <c r="D2" s="91"/>
      <c r="E2" s="6"/>
      <c r="F2" s="190" t="s">
        <v>29</v>
      </c>
      <c r="G2" s="190">
        <v>8</v>
      </c>
      <c r="H2" s="191"/>
      <c r="I2" s="190"/>
      <c r="J2" s="190"/>
      <c r="K2" s="190"/>
      <c r="L2" s="190"/>
      <c r="M2" s="6"/>
      <c r="N2" s="6"/>
    </row>
    <row r="3" spans="1:14" ht="19.5" customHeight="1">
      <c r="A3" s="21" t="s">
        <v>12</v>
      </c>
      <c r="D3" s="22"/>
      <c r="E3" s="6"/>
      <c r="F3" s="190"/>
      <c r="G3" s="190"/>
      <c r="H3" s="190"/>
      <c r="I3" s="190"/>
      <c r="J3" s="312"/>
      <c r="K3" s="312"/>
      <c r="L3" s="190"/>
      <c r="M3" s="6"/>
      <c r="N3" s="6"/>
    </row>
    <row r="4" spans="1:14" ht="18.75" customHeight="1">
      <c r="A4" s="236" t="s">
        <v>13</v>
      </c>
      <c r="B4" s="237"/>
      <c r="C4" s="237"/>
      <c r="D4" s="238">
        <f>SUM(D5:D7)</f>
        <v>284001768</v>
      </c>
      <c r="E4" s="6"/>
      <c r="F4" s="192" t="s">
        <v>30</v>
      </c>
      <c r="G4" s="193" t="s">
        <v>31</v>
      </c>
      <c r="H4" s="193" t="s">
        <v>32</v>
      </c>
      <c r="I4" s="193" t="s">
        <v>33</v>
      </c>
      <c r="J4" s="194" t="s">
        <v>34</v>
      </c>
      <c r="K4" s="194" t="s">
        <v>35</v>
      </c>
      <c r="L4" s="193" t="s">
        <v>36</v>
      </c>
      <c r="M4" s="6"/>
      <c r="N4" s="6"/>
    </row>
    <row r="5" spans="1:14" ht="18.75" customHeight="1">
      <c r="A5" s="96" t="s">
        <v>22</v>
      </c>
      <c r="B5" s="97" t="s">
        <v>203</v>
      </c>
      <c r="C5" s="254">
        <f>K5</f>
        <v>0.3</v>
      </c>
      <c r="D5" s="98">
        <f t="shared" ref="D5:D7" si="0">L5</f>
        <v>73900728</v>
      </c>
      <c r="E5" s="23"/>
      <c r="F5" s="195" t="s">
        <v>37</v>
      </c>
      <c r="G5" s="230">
        <f>노무공수!F28</f>
        <v>10263990</v>
      </c>
      <c r="H5" s="196">
        <v>1</v>
      </c>
      <c r="I5" s="195">
        <f>ROUNDDOWN(G5*H5,0)</f>
        <v>10263990</v>
      </c>
      <c r="J5" s="197">
        <v>3</v>
      </c>
      <c r="K5" s="198">
        <v>0.3</v>
      </c>
      <c r="L5" s="199">
        <f>ROUNDDOWN(J5*$G$2*$I5*K5,0)</f>
        <v>73900728</v>
      </c>
      <c r="M5" s="23"/>
      <c r="N5" s="6"/>
    </row>
    <row r="6" spans="1:14" ht="18.75" customHeight="1">
      <c r="A6" s="99" t="s">
        <v>23</v>
      </c>
      <c r="B6" s="106" t="s">
        <v>190</v>
      </c>
      <c r="C6" s="255">
        <f t="shared" ref="C6:C7" si="1">K6</f>
        <v>0.5</v>
      </c>
      <c r="D6" s="100">
        <f t="shared" si="0"/>
        <v>125924656</v>
      </c>
      <c r="E6" s="23"/>
      <c r="F6" s="195" t="s">
        <v>38</v>
      </c>
      <c r="G6" s="230">
        <f>노무공수!F29</f>
        <v>7870291</v>
      </c>
      <c r="H6" s="196">
        <v>1</v>
      </c>
      <c r="I6" s="195">
        <f>ROUNDDOWN(G6*H6,0)</f>
        <v>7870291</v>
      </c>
      <c r="J6" s="197">
        <v>4</v>
      </c>
      <c r="K6" s="198">
        <v>0.5</v>
      </c>
      <c r="L6" s="199">
        <f>ROUNDDOWN(J6*$G$2*$I6*K6,0)</f>
        <v>125924656</v>
      </c>
      <c r="M6" s="264"/>
      <c r="N6" s="6"/>
    </row>
    <row r="7" spans="1:14" ht="18.75" customHeight="1">
      <c r="A7" s="101" t="s">
        <v>24</v>
      </c>
      <c r="B7" s="57" t="s">
        <v>204</v>
      </c>
      <c r="C7" s="256">
        <f t="shared" si="1"/>
        <v>0.4</v>
      </c>
      <c r="D7" s="102">
        <f t="shared" si="0"/>
        <v>84176384</v>
      </c>
      <c r="E7" s="23"/>
      <c r="F7" s="195" t="s">
        <v>39</v>
      </c>
      <c r="G7" s="230">
        <f>노무공수!F30</f>
        <v>5261024</v>
      </c>
      <c r="H7" s="196">
        <v>1</v>
      </c>
      <c r="I7" s="195">
        <f>ROUNDDOWN(G7*H7,0)</f>
        <v>5261024</v>
      </c>
      <c r="J7" s="197">
        <v>5</v>
      </c>
      <c r="K7" s="198">
        <v>0.4</v>
      </c>
      <c r="L7" s="199">
        <f>ROUNDDOWN(J7*$G$2*$I7*K7,0)</f>
        <v>84176384</v>
      </c>
      <c r="M7" s="265"/>
      <c r="N7" s="6"/>
    </row>
    <row r="8" spans="1:14" ht="18.75" customHeight="1">
      <c r="A8" s="59" t="s">
        <v>141</v>
      </c>
      <c r="B8" s="56"/>
      <c r="C8" s="56"/>
      <c r="D8" s="103"/>
      <c r="E8" s="23"/>
      <c r="F8" s="23"/>
      <c r="G8" s="6"/>
      <c r="H8" s="6"/>
      <c r="I8" s="6"/>
      <c r="J8" s="6"/>
      <c r="K8" s="6"/>
      <c r="L8" s="6"/>
      <c r="M8" s="265"/>
      <c r="N8" s="6"/>
    </row>
    <row r="9" spans="1:14" ht="18.75" customHeight="1">
      <c r="A9" s="59" t="s">
        <v>124</v>
      </c>
      <c r="D9" s="23"/>
      <c r="E9" s="23"/>
      <c r="F9" s="6"/>
      <c r="G9" s="6"/>
      <c r="H9" s="6"/>
      <c r="I9" s="6"/>
      <c r="J9" s="6"/>
      <c r="K9" s="6"/>
      <c r="L9" s="6"/>
      <c r="M9" s="6"/>
      <c r="N9" s="6"/>
    </row>
    <row r="10" spans="1:14" ht="18.75" customHeight="1">
      <c r="A10" s="18"/>
      <c r="B10" s="18"/>
      <c r="C10" s="18"/>
      <c r="D10" s="19"/>
      <c r="E10" s="6"/>
      <c r="F10" s="290" t="s">
        <v>40</v>
      </c>
      <c r="G10" s="291">
        <v>1300</v>
      </c>
      <c r="H10" s="202"/>
      <c r="I10" s="203"/>
      <c r="J10" s="204"/>
      <c r="K10" s="204"/>
      <c r="L10" s="190"/>
      <c r="M10" s="6"/>
      <c r="N10" s="6"/>
    </row>
    <row r="11" spans="1:14" ht="18.75" customHeight="1">
      <c r="A11" s="21" t="s">
        <v>14</v>
      </c>
      <c r="B11" s="56"/>
      <c r="C11" s="56"/>
      <c r="D11" s="25">
        <f>SUM(D13,D42,D24,D56,D27,D50)</f>
        <v>119758800</v>
      </c>
      <c r="E11" s="6"/>
      <c r="F11" s="203"/>
      <c r="G11" s="205"/>
      <c r="H11" s="203"/>
      <c r="I11" s="203"/>
      <c r="J11" s="204"/>
      <c r="K11" s="204"/>
      <c r="L11" s="190"/>
      <c r="M11" s="6"/>
      <c r="N11" s="6"/>
    </row>
    <row r="12" spans="1:14" ht="18.75" customHeight="1">
      <c r="A12" s="24"/>
      <c r="E12" s="262"/>
      <c r="F12" s="190"/>
      <c r="G12" s="190"/>
      <c r="H12" s="190"/>
      <c r="I12" s="190"/>
      <c r="J12" s="190"/>
      <c r="K12" s="190"/>
      <c r="L12" s="190"/>
      <c r="M12" s="6"/>
      <c r="N12" s="6"/>
    </row>
    <row r="13" spans="1:14" ht="18.75" customHeight="1">
      <c r="A13" s="239" t="s">
        <v>108</v>
      </c>
      <c r="B13" s="237" t="s">
        <v>174</v>
      </c>
      <c r="C13" s="237"/>
      <c r="D13" s="238">
        <f>SUM(D14:D15)</f>
        <v>42733800</v>
      </c>
      <c r="E13" s="263"/>
      <c r="F13" s="292"/>
      <c r="G13" s="293" t="s">
        <v>41</v>
      </c>
      <c r="H13" s="293" t="s">
        <v>96</v>
      </c>
      <c r="I13" s="293" t="s">
        <v>43</v>
      </c>
      <c r="J13" s="293"/>
      <c r="K13" s="293"/>
      <c r="L13" s="293"/>
      <c r="M13" s="6"/>
      <c r="N13" s="6"/>
    </row>
    <row r="14" spans="1:14" ht="18.75" customHeight="1">
      <c r="A14" s="120" t="s">
        <v>15</v>
      </c>
      <c r="B14" s="125" t="s">
        <v>205</v>
      </c>
      <c r="C14" s="125"/>
      <c r="D14" s="118">
        <f>G14*H14*I14</f>
        <v>18000000</v>
      </c>
      <c r="E14" s="6"/>
      <c r="F14" s="293" t="s">
        <v>44</v>
      </c>
      <c r="G14" s="293">
        <v>6</v>
      </c>
      <c r="H14" s="293">
        <v>3</v>
      </c>
      <c r="I14" s="294">
        <v>1000000</v>
      </c>
      <c r="J14" s="293"/>
      <c r="K14" s="293"/>
      <c r="L14" s="293"/>
      <c r="M14" s="6"/>
      <c r="N14" s="6"/>
    </row>
    <row r="15" spans="1:14" ht="18.75" customHeight="1">
      <c r="A15" s="121" t="s">
        <v>16</v>
      </c>
      <c r="B15" s="106"/>
      <c r="C15" s="106"/>
      <c r="D15" s="119">
        <f>SUM(D16:D19)</f>
        <v>24733800</v>
      </c>
      <c r="E15" s="6"/>
      <c r="F15" s="293"/>
      <c r="G15" s="293" t="s">
        <v>41</v>
      </c>
      <c r="H15" s="293" t="s">
        <v>42</v>
      </c>
      <c r="I15" s="293" t="s">
        <v>43</v>
      </c>
      <c r="J15" s="293" t="s">
        <v>45</v>
      </c>
      <c r="K15" s="293"/>
      <c r="L15" s="293"/>
      <c r="M15" s="6"/>
      <c r="N15" s="6"/>
    </row>
    <row r="16" spans="1:14" ht="18.75" customHeight="1">
      <c r="A16" s="121" t="s">
        <v>17</v>
      </c>
      <c r="B16" s="106" t="s">
        <v>206</v>
      </c>
      <c r="C16" s="106"/>
      <c r="D16" s="122">
        <f>G16*H16*I16*J16*L16*H14</f>
        <v>4212000</v>
      </c>
      <c r="E16" s="6"/>
      <c r="F16" s="290" t="s">
        <v>46</v>
      </c>
      <c r="G16" s="295">
        <v>6</v>
      </c>
      <c r="H16" s="290">
        <v>6</v>
      </c>
      <c r="I16" s="290">
        <v>30</v>
      </c>
      <c r="J16" s="296">
        <v>1300</v>
      </c>
      <c r="K16" s="290"/>
      <c r="L16" s="295">
        <v>1</v>
      </c>
      <c r="M16" s="6"/>
      <c r="N16" s="6"/>
    </row>
    <row r="17" spans="1:14" ht="18.75" customHeight="1">
      <c r="A17" s="121" t="s">
        <v>18</v>
      </c>
      <c r="B17" s="106" t="s">
        <v>207</v>
      </c>
      <c r="C17" s="106"/>
      <c r="D17" s="122">
        <f>G17*H17*I17*J17*L17*H14</f>
        <v>9477000</v>
      </c>
      <c r="E17" s="6"/>
      <c r="F17" s="290" t="s">
        <v>47</v>
      </c>
      <c r="G17" s="295">
        <v>6</v>
      </c>
      <c r="H17" s="290">
        <v>5</v>
      </c>
      <c r="I17" s="290">
        <v>81</v>
      </c>
      <c r="J17" s="296">
        <v>1300</v>
      </c>
      <c r="K17" s="297"/>
      <c r="L17" s="295">
        <v>1</v>
      </c>
      <c r="M17" s="6"/>
      <c r="N17" s="6"/>
    </row>
    <row r="18" spans="1:14" ht="18.75" customHeight="1">
      <c r="A18" s="273" t="s">
        <v>113</v>
      </c>
      <c r="B18" s="106" t="s">
        <v>208</v>
      </c>
      <c r="C18" s="130"/>
      <c r="D18" s="274">
        <f>G18*H18*I18*J18*L18*H14</f>
        <v>5194800</v>
      </c>
      <c r="E18" s="6"/>
      <c r="F18" s="290" t="s">
        <v>48</v>
      </c>
      <c r="G18" s="295">
        <v>6</v>
      </c>
      <c r="H18" s="290">
        <v>6</v>
      </c>
      <c r="I18" s="290">
        <v>37</v>
      </c>
      <c r="J18" s="296">
        <v>1300</v>
      </c>
      <c r="K18" s="290"/>
      <c r="L18" s="295">
        <v>1</v>
      </c>
      <c r="M18" s="6"/>
      <c r="N18" s="6"/>
    </row>
    <row r="19" spans="1:14" s="133" customFormat="1" ht="18.75" customHeight="1">
      <c r="A19" s="275" t="s">
        <v>114</v>
      </c>
      <c r="B19" s="117" t="s">
        <v>209</v>
      </c>
      <c r="C19" s="276"/>
      <c r="D19" s="277">
        <f>G19*H19*I19*J19*L19*H14</f>
        <v>5850000</v>
      </c>
      <c r="E19" s="6"/>
      <c r="F19" s="292" t="s">
        <v>112</v>
      </c>
      <c r="G19" s="295">
        <v>1</v>
      </c>
      <c r="H19" s="290">
        <v>6</v>
      </c>
      <c r="I19" s="290">
        <v>250</v>
      </c>
      <c r="J19" s="296">
        <v>1300</v>
      </c>
      <c r="K19" s="290"/>
      <c r="L19" s="295">
        <v>1</v>
      </c>
      <c r="M19" s="6"/>
      <c r="N19" s="6"/>
    </row>
    <row r="20" spans="1:14" s="133" customFormat="1" ht="18.75" customHeight="1">
      <c r="A20" s="59" t="s">
        <v>176</v>
      </c>
      <c r="B20" s="261"/>
      <c r="C20" s="261"/>
      <c r="D20" s="19"/>
      <c r="E20" s="6"/>
      <c r="M20" s="6"/>
      <c r="N20" s="6"/>
    </row>
    <row r="21" spans="1:14" s="133" customFormat="1" ht="18.75" customHeight="1">
      <c r="A21" s="59" t="s">
        <v>175</v>
      </c>
      <c r="B21" s="261"/>
      <c r="C21" s="261"/>
      <c r="D21" s="19"/>
      <c r="M21" s="6"/>
      <c r="N21" s="6"/>
    </row>
    <row r="22" spans="1:14" s="133" customFormat="1" ht="18.75" customHeight="1">
      <c r="A22" s="59" t="s">
        <v>189</v>
      </c>
      <c r="B22" s="261"/>
      <c r="C22" s="261"/>
      <c r="D22" s="19"/>
      <c r="F22" s="258"/>
      <c r="G22" s="259"/>
      <c r="H22" s="258"/>
      <c r="I22" s="258"/>
      <c r="J22" s="260"/>
      <c r="K22" s="258"/>
      <c r="L22" s="259"/>
      <c r="M22" s="6"/>
      <c r="N22" s="6"/>
    </row>
    <row r="23" spans="1:14" s="6" customFormat="1" ht="18.75" customHeight="1">
      <c r="A23" s="59"/>
      <c r="B23" s="261"/>
      <c r="C23" s="261"/>
      <c r="D23" s="19"/>
    </row>
    <row r="24" spans="1:14" s="6" customFormat="1" ht="18.75" customHeight="1">
      <c r="A24" s="239" t="s">
        <v>109</v>
      </c>
      <c r="B24" s="237"/>
      <c r="C24" s="237"/>
      <c r="D24" s="238">
        <f>SUM(D25:D25)</f>
        <v>1500000</v>
      </c>
    </row>
    <row r="25" spans="1:14" s="6" customFormat="1" ht="18.75" customHeight="1">
      <c r="A25" s="112" t="s">
        <v>26</v>
      </c>
      <c r="B25" s="113" t="s">
        <v>177</v>
      </c>
      <c r="C25" s="113"/>
      <c r="D25" s="114">
        <f>5*10*30000</f>
        <v>1500000</v>
      </c>
    </row>
    <row r="26" spans="1:14" s="6" customFormat="1" ht="18.75" customHeight="1">
      <c r="A26" s="106"/>
      <c r="B26" s="106"/>
      <c r="C26" s="106"/>
      <c r="D26" s="162"/>
    </row>
    <row r="27" spans="1:14" s="6" customFormat="1" ht="18.75" customHeight="1">
      <c r="A27" s="239" t="s">
        <v>145</v>
      </c>
      <c r="B27" s="237"/>
      <c r="C27" s="237"/>
      <c r="D27" s="238">
        <f>SUM(D28,D34)</f>
        <v>48000000</v>
      </c>
      <c r="F27" s="17"/>
      <c r="G27" s="17"/>
      <c r="H27" s="17"/>
      <c r="I27" s="17"/>
      <c r="J27" s="17"/>
      <c r="K27" s="17"/>
      <c r="L27" s="17"/>
    </row>
    <row r="28" spans="1:14" ht="18.75" customHeight="1">
      <c r="A28" s="121" t="s">
        <v>146</v>
      </c>
      <c r="B28" s="106"/>
      <c r="C28" s="106"/>
      <c r="D28" s="119">
        <f>SUM(D29:D33)</f>
        <v>24000000</v>
      </c>
    </row>
    <row r="29" spans="1:14" ht="18.75" customHeight="1">
      <c r="A29" s="131" t="s">
        <v>82</v>
      </c>
      <c r="B29" s="130" t="s">
        <v>139</v>
      </c>
      <c r="C29" s="130"/>
      <c r="D29" s="155">
        <f>I14*5*1</f>
        <v>5000000</v>
      </c>
      <c r="F29" s="133"/>
      <c r="G29" s="133"/>
      <c r="H29" s="133"/>
      <c r="I29" s="133"/>
      <c r="J29" s="133"/>
      <c r="K29" s="133"/>
      <c r="L29" s="133"/>
    </row>
    <row r="30" spans="1:14" s="133" customFormat="1" ht="18.75" customHeight="1">
      <c r="A30" s="131" t="s">
        <v>82</v>
      </c>
      <c r="B30" s="130" t="s">
        <v>102</v>
      </c>
      <c r="C30" s="130"/>
      <c r="D30" s="155">
        <f>200000*5*7</f>
        <v>7000000</v>
      </c>
    </row>
    <row r="31" spans="1:14" s="133" customFormat="1" ht="18.75" customHeight="1">
      <c r="A31" s="131" t="s">
        <v>79</v>
      </c>
      <c r="B31" s="130" t="s">
        <v>83</v>
      </c>
      <c r="C31" s="130"/>
      <c r="D31" s="155">
        <v>7500000</v>
      </c>
      <c r="F31" s="17"/>
      <c r="G31" s="17"/>
      <c r="H31" s="17"/>
      <c r="I31" s="17"/>
      <c r="J31" s="17"/>
      <c r="K31" s="17"/>
      <c r="L31" s="17"/>
    </row>
    <row r="32" spans="1:14" ht="18.75" customHeight="1">
      <c r="A32" s="131" t="s">
        <v>84</v>
      </c>
      <c r="B32" s="130" t="s">
        <v>147</v>
      </c>
      <c r="C32" s="130"/>
      <c r="D32" s="155">
        <v>2500000</v>
      </c>
    </row>
    <row r="33" spans="1:12" ht="18.75" customHeight="1">
      <c r="A33" s="131" t="s">
        <v>85</v>
      </c>
      <c r="B33" s="130" t="s">
        <v>140</v>
      </c>
      <c r="C33" s="130"/>
      <c r="D33" s="155">
        <v>2000000</v>
      </c>
      <c r="F33" s="133"/>
      <c r="G33" s="133"/>
      <c r="H33" s="133"/>
      <c r="I33" s="133"/>
      <c r="J33" s="133"/>
      <c r="K33" s="133"/>
      <c r="L33" s="133"/>
    </row>
    <row r="34" spans="1:12" s="133" customFormat="1" ht="18.75" customHeight="1">
      <c r="A34" s="121" t="s">
        <v>148</v>
      </c>
      <c r="B34" s="106"/>
      <c r="C34" s="106"/>
      <c r="D34" s="119">
        <f>SUM(D35:D39)</f>
        <v>24000000</v>
      </c>
    </row>
    <row r="35" spans="1:12" s="133" customFormat="1" ht="18.75" customHeight="1">
      <c r="A35" s="131" t="s">
        <v>82</v>
      </c>
      <c r="B35" s="130" t="s">
        <v>139</v>
      </c>
      <c r="C35" s="130"/>
      <c r="D35" s="155">
        <f>I14*5*1</f>
        <v>5000000</v>
      </c>
    </row>
    <row r="36" spans="1:12" s="133" customFormat="1" ht="18.75" customHeight="1">
      <c r="A36" s="131" t="s">
        <v>82</v>
      </c>
      <c r="B36" s="130" t="s">
        <v>102</v>
      </c>
      <c r="C36" s="130"/>
      <c r="D36" s="155">
        <f>200000*5*7</f>
        <v>7000000</v>
      </c>
    </row>
    <row r="37" spans="1:12" s="133" customFormat="1" ht="18.75" customHeight="1">
      <c r="A37" s="131" t="s">
        <v>79</v>
      </c>
      <c r="B37" s="130" t="s">
        <v>83</v>
      </c>
      <c r="C37" s="130"/>
      <c r="D37" s="155">
        <v>7500000</v>
      </c>
    </row>
    <row r="38" spans="1:12" s="133" customFormat="1" ht="18.75" customHeight="1">
      <c r="A38" s="131" t="s">
        <v>84</v>
      </c>
      <c r="B38" s="130" t="s">
        <v>147</v>
      </c>
      <c r="C38" s="130"/>
      <c r="D38" s="155">
        <v>2500000</v>
      </c>
    </row>
    <row r="39" spans="1:12" s="133" customFormat="1" ht="18.75" customHeight="1">
      <c r="A39" s="156" t="s">
        <v>85</v>
      </c>
      <c r="B39" s="157" t="s">
        <v>140</v>
      </c>
      <c r="C39" s="132"/>
      <c r="D39" s="158">
        <v>2000000</v>
      </c>
    </row>
    <row r="40" spans="1:12" s="133" customFormat="1" ht="18.75" customHeight="1">
      <c r="A40" s="94"/>
      <c r="B40" s="95"/>
      <c r="C40" s="95"/>
      <c r="D40" s="69"/>
    </row>
    <row r="41" spans="1:12" s="133" customFormat="1" ht="18.75" customHeight="1">
      <c r="A41" s="94"/>
      <c r="B41" s="95"/>
      <c r="C41" s="95"/>
      <c r="D41" s="69"/>
    </row>
    <row r="42" spans="1:12" s="133" customFormat="1" ht="18.75" customHeight="1">
      <c r="A42" s="239" t="s">
        <v>167</v>
      </c>
      <c r="B42" s="237"/>
      <c r="C42" s="237"/>
      <c r="D42" s="238">
        <f>SUM(D44:D47)</f>
        <v>6000000</v>
      </c>
    </row>
    <row r="43" spans="1:12" s="133" customFormat="1" ht="18.75" customHeight="1">
      <c r="A43" s="96" t="s">
        <v>168</v>
      </c>
      <c r="B43" s="97"/>
      <c r="C43" s="97"/>
      <c r="D43" s="109"/>
      <c r="K43" s="17"/>
      <c r="L43" s="17"/>
    </row>
    <row r="44" spans="1:12" ht="18.75" customHeight="1">
      <c r="A44" s="153" t="s">
        <v>84</v>
      </c>
      <c r="B44" s="154" t="s">
        <v>86</v>
      </c>
      <c r="C44" s="129"/>
      <c r="D44" s="155">
        <v>2000000</v>
      </c>
      <c r="F44" s="133"/>
      <c r="G44" s="133"/>
      <c r="H44" s="133"/>
      <c r="I44" s="133"/>
      <c r="J44" s="133"/>
    </row>
    <row r="45" spans="1:12" ht="18.75" customHeight="1">
      <c r="A45" s="153" t="s">
        <v>85</v>
      </c>
      <c r="B45" s="154" t="s">
        <v>87</v>
      </c>
      <c r="C45" s="129"/>
      <c r="D45" s="155">
        <v>2000000</v>
      </c>
      <c r="F45" s="133"/>
      <c r="G45" s="133"/>
      <c r="H45" s="133"/>
      <c r="I45" s="133"/>
      <c r="J45" s="133"/>
    </row>
    <row r="46" spans="1:12" ht="18.75" customHeight="1">
      <c r="A46" s="153" t="s">
        <v>88</v>
      </c>
      <c r="B46" s="154" t="s">
        <v>89</v>
      </c>
      <c r="C46" s="129"/>
      <c r="D46" s="155">
        <v>1000000</v>
      </c>
      <c r="F46" s="133"/>
      <c r="G46" s="133"/>
      <c r="H46" s="133"/>
      <c r="I46" s="133"/>
      <c r="J46" s="133"/>
      <c r="K46" s="133"/>
      <c r="L46" s="133"/>
    </row>
    <row r="47" spans="1:12" s="133" customFormat="1" ht="18.75" customHeight="1">
      <c r="A47" s="156" t="s">
        <v>79</v>
      </c>
      <c r="B47" s="157" t="s">
        <v>90</v>
      </c>
      <c r="C47" s="132"/>
      <c r="D47" s="158">
        <v>1000000</v>
      </c>
    </row>
    <row r="48" spans="1:12" s="133" customFormat="1" ht="18.75" customHeight="1">
      <c r="A48" s="59" t="s">
        <v>142</v>
      </c>
      <c r="B48" s="61"/>
      <c r="C48" s="70"/>
      <c r="D48" s="93"/>
    </row>
    <row r="49" spans="1:12" s="133" customFormat="1" ht="18.75" customHeight="1">
      <c r="A49" s="26"/>
      <c r="B49" s="26"/>
      <c r="C49" s="26"/>
      <c r="D49" s="27"/>
    </row>
    <row r="50" spans="1:12" s="133" customFormat="1" ht="18.75" customHeight="1">
      <c r="A50" s="239" t="s">
        <v>125</v>
      </c>
      <c r="B50" s="237"/>
      <c r="C50" s="237"/>
      <c r="D50" s="238">
        <f>SUM(D51:D54)</f>
        <v>6200000</v>
      </c>
    </row>
    <row r="51" spans="1:12" s="133" customFormat="1" ht="18.75" customHeight="1">
      <c r="A51" s="96" t="s">
        <v>128</v>
      </c>
      <c r="B51" s="97" t="s">
        <v>127</v>
      </c>
      <c r="C51" s="97"/>
      <c r="D51" s="109">
        <v>1000000</v>
      </c>
    </row>
    <row r="52" spans="1:12" s="133" customFormat="1" ht="18.75" customHeight="1">
      <c r="A52" s="106" t="s">
        <v>169</v>
      </c>
      <c r="B52" s="106" t="s">
        <v>178</v>
      </c>
      <c r="C52" s="106"/>
      <c r="D52" s="107">
        <f>3*2*400000</f>
        <v>2400000</v>
      </c>
      <c r="K52" s="17"/>
      <c r="L52" s="17"/>
    </row>
    <row r="53" spans="1:12" ht="18.75" customHeight="1">
      <c r="A53" s="106" t="s">
        <v>170</v>
      </c>
      <c r="B53" s="106" t="s">
        <v>171</v>
      </c>
      <c r="C53" s="106"/>
      <c r="D53" s="107">
        <v>1000000</v>
      </c>
      <c r="F53" s="133"/>
      <c r="G53" s="133"/>
      <c r="H53" s="133"/>
      <c r="I53" s="133"/>
      <c r="J53" s="133"/>
      <c r="K53" s="133"/>
      <c r="L53" s="133"/>
    </row>
    <row r="54" spans="1:12" s="133" customFormat="1" ht="18.75" customHeight="1">
      <c r="A54" s="101" t="s">
        <v>126</v>
      </c>
      <c r="B54" s="110" t="s">
        <v>179</v>
      </c>
      <c r="C54" s="110"/>
      <c r="D54" s="111">
        <f>6*30000*10</f>
        <v>1800000</v>
      </c>
    </row>
    <row r="55" spans="1:12" s="133" customFormat="1" ht="18.75" customHeight="1">
      <c r="A55" s="26"/>
      <c r="B55" s="26"/>
      <c r="C55" s="26"/>
      <c r="D55" s="27"/>
    </row>
    <row r="56" spans="1:12" s="133" customFormat="1" ht="18.75" customHeight="1">
      <c r="A56" s="239" t="s">
        <v>144</v>
      </c>
      <c r="B56" s="237"/>
      <c r="C56" s="237"/>
      <c r="D56" s="238">
        <f>SUM(D57:D63)</f>
        <v>15325000</v>
      </c>
      <c r="F56" s="17"/>
      <c r="G56" s="17"/>
      <c r="H56" s="17"/>
      <c r="I56" s="17"/>
      <c r="J56" s="17"/>
    </row>
    <row r="57" spans="1:12" s="133" customFormat="1" ht="18.75" customHeight="1">
      <c r="A57" s="96" t="s">
        <v>136</v>
      </c>
      <c r="B57" s="97" t="s">
        <v>138</v>
      </c>
      <c r="C57" s="97"/>
      <c r="D57" s="109">
        <v>2500000</v>
      </c>
      <c r="F57" s="298"/>
      <c r="G57" s="298" t="s">
        <v>49</v>
      </c>
      <c r="H57" s="298" t="s">
        <v>50</v>
      </c>
      <c r="I57" s="298" t="s">
        <v>51</v>
      </c>
      <c r="J57" s="298"/>
    </row>
    <row r="58" spans="1:12" s="133" customFormat="1" ht="18.75" customHeight="1">
      <c r="A58" s="106" t="s">
        <v>137</v>
      </c>
      <c r="B58" s="106" t="s">
        <v>104</v>
      </c>
      <c r="C58" s="124"/>
      <c r="D58" s="107">
        <v>700000</v>
      </c>
      <c r="F58" s="299">
        <v>0.5</v>
      </c>
      <c r="G58" s="298">
        <v>10</v>
      </c>
      <c r="H58" s="298">
        <v>150</v>
      </c>
      <c r="I58" s="298">
        <v>300</v>
      </c>
      <c r="J58" s="300">
        <f>F58*G58*H58*I58</f>
        <v>225000</v>
      </c>
    </row>
    <row r="59" spans="1:12" s="133" customFormat="1" ht="18.75" customHeight="1">
      <c r="A59" s="104" t="s">
        <v>135</v>
      </c>
      <c r="B59" s="105" t="s">
        <v>129</v>
      </c>
      <c r="C59" s="106"/>
      <c r="D59" s="107">
        <f>J58</f>
        <v>225000</v>
      </c>
      <c r="F59" s="299">
        <v>0.5</v>
      </c>
      <c r="G59" s="298">
        <v>50</v>
      </c>
      <c r="H59" s="298">
        <v>300</v>
      </c>
      <c r="I59" s="298">
        <v>300</v>
      </c>
      <c r="J59" s="300">
        <f t="shared" ref="J59:J60" si="2">F59*G59*H59*I59</f>
        <v>2250000</v>
      </c>
      <c r="K59" s="17"/>
      <c r="L59" s="17"/>
    </row>
    <row r="60" spans="1:12" ht="18.75" customHeight="1">
      <c r="A60" s="104" t="s">
        <v>52</v>
      </c>
      <c r="B60" s="105" t="s">
        <v>130</v>
      </c>
      <c r="C60" s="106"/>
      <c r="D60" s="107">
        <f>J59</f>
        <v>2250000</v>
      </c>
      <c r="F60" s="299">
        <v>0.5</v>
      </c>
      <c r="G60" s="298">
        <v>20</v>
      </c>
      <c r="H60" s="298">
        <v>50</v>
      </c>
      <c r="I60" s="298">
        <v>300</v>
      </c>
      <c r="J60" s="300">
        <f t="shared" si="2"/>
        <v>150000</v>
      </c>
    </row>
    <row r="61" spans="1:12" ht="18.75" customHeight="1">
      <c r="A61" s="104" t="s">
        <v>132</v>
      </c>
      <c r="B61" s="105" t="s">
        <v>133</v>
      </c>
      <c r="C61" s="106"/>
      <c r="D61" s="107">
        <f>J60</f>
        <v>150000</v>
      </c>
      <c r="F61" s="133"/>
      <c r="G61" s="133"/>
      <c r="H61" s="133"/>
      <c r="I61" s="133"/>
      <c r="J61" s="133"/>
      <c r="K61" s="133"/>
      <c r="L61" s="133"/>
    </row>
    <row r="62" spans="1:12" s="133" customFormat="1" ht="18.75" customHeight="1">
      <c r="A62" s="104" t="s">
        <v>134</v>
      </c>
      <c r="B62" s="105" t="s">
        <v>131</v>
      </c>
      <c r="C62" s="106"/>
      <c r="D62" s="107">
        <v>8000000</v>
      </c>
      <c r="E62" s="31"/>
      <c r="K62" s="17"/>
      <c r="L62" s="17"/>
    </row>
    <row r="63" spans="1:12" ht="18.75" customHeight="1">
      <c r="A63" s="101" t="s">
        <v>110</v>
      </c>
      <c r="B63" s="110" t="s">
        <v>111</v>
      </c>
      <c r="C63" s="110"/>
      <c r="D63" s="111">
        <v>1500000</v>
      </c>
    </row>
    <row r="64" spans="1:12" ht="18.75" customHeight="1">
      <c r="A64" s="180"/>
      <c r="B64" s="105"/>
      <c r="C64" s="105"/>
      <c r="D64" s="70"/>
      <c r="F64" s="133"/>
      <c r="G64" s="133"/>
      <c r="H64" s="133"/>
      <c r="I64" s="133"/>
      <c r="J64" s="133"/>
      <c r="K64" s="133"/>
      <c r="L64" s="133"/>
    </row>
    <row r="65" spans="1:12" s="133" customFormat="1" ht="18.75" customHeight="1">
      <c r="A65" s="167" t="s">
        <v>65</v>
      </c>
      <c r="B65" s="105"/>
      <c r="C65" s="105"/>
      <c r="D65" s="70"/>
    </row>
    <row r="66" spans="1:12" s="133" customFormat="1" ht="18.75" customHeight="1">
      <c r="A66" s="171" t="s">
        <v>64</v>
      </c>
      <c r="B66" s="169" t="s">
        <v>63</v>
      </c>
      <c r="C66" s="169"/>
      <c r="D66" s="30">
        <f>ROUNDDOWN((D4+D11)*E70,0)</f>
        <v>20188028</v>
      </c>
    </row>
    <row r="67" spans="1:12" s="133" customFormat="1" ht="18.75" customHeight="1">
      <c r="A67" s="18"/>
      <c r="B67" s="18"/>
      <c r="C67" s="18"/>
      <c r="D67" s="19"/>
    </row>
    <row r="68" spans="1:12" s="133" customFormat="1" ht="18.75" customHeight="1">
      <c r="A68" s="21" t="s">
        <v>19</v>
      </c>
      <c r="B68" s="17"/>
      <c r="C68" s="17"/>
      <c r="D68" s="23"/>
      <c r="K68" s="85"/>
      <c r="L68" s="85"/>
    </row>
    <row r="69" spans="1:12" s="85" customFormat="1" ht="24.95" customHeight="1">
      <c r="A69" s="28" t="s">
        <v>155</v>
      </c>
      <c r="B69" s="29" t="s">
        <v>7</v>
      </c>
      <c r="C69" s="29"/>
      <c r="D69" s="30">
        <f>ROUNDDOWN((D4+D11+D66)*E74,0)</f>
        <v>21197429</v>
      </c>
      <c r="F69" s="133"/>
      <c r="G69" s="133"/>
      <c r="H69" s="133"/>
      <c r="I69" s="133"/>
      <c r="J69" s="133"/>
    </row>
    <row r="70" spans="1:12" s="85" customFormat="1" ht="24.95" customHeight="1">
      <c r="A70" s="18"/>
      <c r="B70" s="18"/>
      <c r="C70" s="18"/>
      <c r="D70" s="19"/>
      <c r="E70" s="115">
        <v>0.05</v>
      </c>
      <c r="F70" s="17"/>
      <c r="G70" s="17"/>
      <c r="H70" s="17"/>
      <c r="I70" s="17"/>
      <c r="J70" s="17"/>
      <c r="K70" s="17"/>
      <c r="L70" s="17"/>
    </row>
    <row r="71" spans="1:12" ht="18.75" customHeight="1">
      <c r="A71" s="267" t="s">
        <v>163</v>
      </c>
      <c r="B71" s="268"/>
      <c r="C71" s="268"/>
      <c r="D71" s="269">
        <f>SUM(D72:D75)</f>
        <v>100000000</v>
      </c>
      <c r="E71" s="152"/>
    </row>
    <row r="72" spans="1:12" ht="18.75" customHeight="1">
      <c r="A72" s="153" t="s">
        <v>180</v>
      </c>
      <c r="B72" s="154" t="s">
        <v>202</v>
      </c>
      <c r="C72" s="129"/>
      <c r="D72" s="155">
        <v>20000000</v>
      </c>
      <c r="E72" s="152"/>
      <c r="F72" s="133"/>
      <c r="G72" s="133"/>
      <c r="H72" s="133"/>
      <c r="I72" s="133"/>
      <c r="J72" s="133"/>
    </row>
    <row r="73" spans="1:12" s="133" customFormat="1" ht="18.75" customHeight="1">
      <c r="A73" s="153" t="s">
        <v>199</v>
      </c>
      <c r="B73" s="154" t="s">
        <v>200</v>
      </c>
      <c r="C73" s="129"/>
      <c r="D73" s="155">
        <v>30000000</v>
      </c>
      <c r="E73" s="152"/>
    </row>
    <row r="74" spans="1:12" ht="18.75" customHeight="1">
      <c r="A74" s="153" t="s">
        <v>181</v>
      </c>
      <c r="B74" s="154" t="s">
        <v>182</v>
      </c>
      <c r="C74" s="129"/>
      <c r="D74" s="155">
        <v>40000000</v>
      </c>
      <c r="E74" s="152">
        <v>0.05</v>
      </c>
    </row>
    <row r="75" spans="1:12" ht="18.75" customHeight="1">
      <c r="A75" s="101" t="s">
        <v>156</v>
      </c>
      <c r="B75" s="110" t="s">
        <v>183</v>
      </c>
      <c r="C75" s="110"/>
      <c r="D75" s="111">
        <v>10000000</v>
      </c>
      <c r="E75" s="152"/>
      <c r="K75" s="133"/>
      <c r="L75" s="133"/>
    </row>
    <row r="76" spans="1:12" s="133" customFormat="1" ht="18.75" customHeight="1">
      <c r="A76" s="106"/>
      <c r="B76" s="266"/>
      <c r="C76" s="266"/>
      <c r="D76" s="162"/>
      <c r="E76" s="152"/>
    </row>
    <row r="77" spans="1:12" s="133" customFormat="1" ht="18.75" customHeight="1">
      <c r="A77" s="21" t="s">
        <v>158</v>
      </c>
      <c r="B77" s="133" t="s">
        <v>172</v>
      </c>
      <c r="C77" s="17"/>
      <c r="D77" s="25">
        <f>ROUNDDOWN((D4+D11+D66+D69+D71),0)</f>
        <v>545146025</v>
      </c>
    </row>
    <row r="78" spans="1:12" s="133" customFormat="1" ht="18.75" customHeight="1">
      <c r="A78" s="21"/>
      <c r="B78" s="17"/>
      <c r="C78" s="17"/>
      <c r="D78" s="23"/>
      <c r="K78" s="17"/>
      <c r="L78" s="17"/>
    </row>
    <row r="79" spans="1:12" ht="18.75" customHeight="1">
      <c r="A79" s="21" t="s">
        <v>159</v>
      </c>
      <c r="B79" s="17" t="s">
        <v>9</v>
      </c>
      <c r="D79" s="32">
        <f>ROUNDDOWN(D77*0.1,0)</f>
        <v>54514602</v>
      </c>
      <c r="F79" s="133"/>
      <c r="G79" s="133"/>
      <c r="H79" s="133"/>
      <c r="I79" s="133"/>
      <c r="J79" s="133"/>
      <c r="K79" s="133"/>
      <c r="L79" s="133"/>
    </row>
    <row r="80" spans="1:12" s="133" customFormat="1" ht="18.75" customHeight="1">
      <c r="A80" s="17"/>
      <c r="B80" s="17"/>
      <c r="C80" s="17"/>
      <c r="D80" s="23"/>
      <c r="F80" s="85"/>
      <c r="G80" s="85"/>
      <c r="H80" s="85"/>
      <c r="I80" s="85"/>
      <c r="J80" s="85"/>
      <c r="K80" s="17"/>
      <c r="L80" s="17"/>
    </row>
    <row r="81" spans="1:10" ht="18.75" customHeight="1">
      <c r="A81" s="21" t="s">
        <v>20</v>
      </c>
      <c r="B81" s="17" t="s">
        <v>27</v>
      </c>
      <c r="D81" s="33">
        <f>D77+D79</f>
        <v>599660627</v>
      </c>
      <c r="F81" s="85"/>
      <c r="G81" s="85"/>
      <c r="H81" s="85"/>
      <c r="I81" s="85"/>
      <c r="J81" s="85"/>
    </row>
    <row r="82" spans="1:10" ht="18.75" customHeight="1">
      <c r="E82" s="20"/>
    </row>
    <row r="83" spans="1:10" ht="18.75" customHeight="1"/>
    <row r="84" spans="1:10" ht="18.75" customHeight="1"/>
    <row r="85" spans="1:10" ht="18.75" customHeight="1">
      <c r="E85" s="20">
        <f>'총괄(기술분야)'!D21</f>
        <v>0</v>
      </c>
    </row>
    <row r="86" spans="1:10" ht="18.75" customHeight="1">
      <c r="F86" s="133"/>
      <c r="G86" s="133"/>
      <c r="H86" s="133"/>
      <c r="I86" s="133"/>
      <c r="J86" s="133"/>
    </row>
    <row r="87" spans="1:10" ht="18.75" customHeight="1">
      <c r="F87" s="133"/>
      <c r="G87" s="133"/>
      <c r="H87" s="133"/>
      <c r="I87" s="133"/>
      <c r="J87" s="133"/>
    </row>
    <row r="88" spans="1:10" ht="18.75" customHeight="1">
      <c r="F88" s="133"/>
      <c r="G88" s="133"/>
      <c r="H88" s="133"/>
      <c r="I88" s="133"/>
      <c r="J88" s="133"/>
    </row>
    <row r="89" spans="1:10" ht="18.75" customHeight="1"/>
    <row r="90" spans="1:10" ht="18.75" customHeight="1">
      <c r="F90" s="133"/>
      <c r="G90" s="133"/>
      <c r="H90" s="133"/>
      <c r="I90" s="133"/>
      <c r="J90" s="133"/>
    </row>
    <row r="91" spans="1:10" ht="18.75" customHeight="1"/>
    <row r="92" spans="1:10" ht="18.75" customHeight="1"/>
    <row r="93" spans="1:10" ht="18.75" customHeight="1"/>
    <row r="94" spans="1:10" ht="18.75" customHeight="1"/>
    <row r="95" spans="1:10" ht="18.75" customHeight="1">
      <c r="F95" s="20">
        <f>D81-E85</f>
        <v>599660627</v>
      </c>
    </row>
    <row r="96" spans="1:10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</sheetData>
  <mergeCells count="2">
    <mergeCell ref="A1:D1"/>
    <mergeCell ref="J3:K3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 alignWithMargins="0"/>
  <rowBreaks count="1" manualBreakCount="1">
    <brk id="41" max="3" man="1"/>
  </rowBreaks>
  <colBreaks count="2" manualBreakCount="2">
    <brk id="2" max="84" man="1"/>
    <brk id="4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E22"/>
  <sheetViews>
    <sheetView tabSelected="1" view="pageBreakPreview" zoomScale="85" zoomScaleNormal="100" zoomScaleSheetLayoutView="85" workbookViewId="0">
      <selection activeCell="H12" sqref="H12"/>
    </sheetView>
  </sheetViews>
  <sheetFormatPr defaultColWidth="9" defaultRowHeight="16.5"/>
  <cols>
    <col min="1" max="1" width="28.375" style="76" bestFit="1" customWidth="1"/>
    <col min="2" max="2" width="22" style="76" customWidth="1"/>
    <col min="3" max="3" width="38" style="76" customWidth="1"/>
    <col min="4" max="4" width="11.625" style="76" bestFit="1" customWidth="1"/>
    <col min="5" max="5" width="19.125" style="76" bestFit="1" customWidth="1"/>
    <col min="6" max="7" width="15.125" style="76" bestFit="1" customWidth="1"/>
    <col min="8" max="8" width="13.5" style="76" customWidth="1"/>
    <col min="9" max="9" width="9.125" style="76" bestFit="1" customWidth="1"/>
    <col min="10" max="16384" width="9" style="76"/>
  </cols>
  <sheetData>
    <row r="1" spans="1:5" ht="40.5" customHeight="1">
      <c r="A1" s="313" t="str">
        <f>'총괄(컨소)'!A1:C1</f>
        <v>□ 사업명: 2024 K-City Network 베트남 하남성 홍강 주변지역 스마트시티 개발계획 수립</v>
      </c>
      <c r="B1" s="313"/>
      <c r="C1" s="313"/>
    </row>
    <row r="2" spans="1:5" ht="16.5" customHeight="1">
      <c r="A2" s="84"/>
      <c r="B2" s="84"/>
      <c r="C2" s="84"/>
    </row>
    <row r="3" spans="1:5" ht="17.25" customHeight="1" thickBot="1">
      <c r="A3" s="83"/>
      <c r="B3" s="83"/>
      <c r="C3" s="90"/>
    </row>
    <row r="4" spans="1:5" ht="24.95" customHeight="1">
      <c r="A4" s="142" t="s">
        <v>0</v>
      </c>
      <c r="B4" s="143" t="s">
        <v>1</v>
      </c>
      <c r="C4" s="144" t="s">
        <v>57</v>
      </c>
    </row>
    <row r="5" spans="1:5" ht="39.950000000000003" customHeight="1">
      <c r="A5" s="145" t="str">
        <f>'산출근거(건축)'!A4</f>
        <v xml:space="preserve"> 1. 인건비</v>
      </c>
      <c r="B5" s="71">
        <f>SUM(B6:B8)</f>
        <v>32796539</v>
      </c>
      <c r="C5" s="72"/>
    </row>
    <row r="6" spans="1:5" ht="39.950000000000003" customHeight="1">
      <c r="A6" s="146" t="s">
        <v>74</v>
      </c>
      <c r="B6" s="73">
        <f>'산출근거(건축)'!D6</f>
        <v>12316788</v>
      </c>
      <c r="C6" s="147" t="str">
        <f>'산출근거(건축)'!B6</f>
        <v xml:space="preserve"> 1인·6월 * 10,263,990원/월, 참여율20%</v>
      </c>
    </row>
    <row r="7" spans="1:5" ht="39.950000000000003" customHeight="1">
      <c r="A7" s="146" t="s">
        <v>75</v>
      </c>
      <c r="B7" s="73">
        <f>'산출근거(건축)'!D7</f>
        <v>14166523</v>
      </c>
      <c r="C7" s="147" t="str">
        <f>'산출근거(건축)'!B7</f>
        <v xml:space="preserve"> 1인·6월 * 7,870,291원/월, 참여율30%</v>
      </c>
    </row>
    <row r="8" spans="1:5" ht="39.950000000000003" customHeight="1">
      <c r="A8" s="146" t="s">
        <v>76</v>
      </c>
      <c r="B8" s="73">
        <f>'산출근거(건축)'!D8</f>
        <v>6313228</v>
      </c>
      <c r="C8" s="147" t="str">
        <f>'산출근거(건축)'!B8</f>
        <v xml:space="preserve"> 1인·6월 * 5,261,024원/월, 참여율20%</v>
      </c>
    </row>
    <row r="9" spans="1:5" ht="39.950000000000003" customHeight="1">
      <c r="A9" s="145" t="str">
        <f>'산출근거(건축)'!A12</f>
        <v xml:space="preserve"> 2. 직접경비</v>
      </c>
      <c r="B9" s="71">
        <f>SUM(B10:B11)</f>
        <v>9364800</v>
      </c>
      <c r="C9" s="72"/>
    </row>
    <row r="10" spans="1:5" ht="39.950000000000003" customHeight="1">
      <c r="A10" s="139" t="str">
        <f>'산출근거(건축)'!A14</f>
        <v xml:space="preserve">   가) 국외여비 (현지조사비)</v>
      </c>
      <c r="B10" s="73">
        <f>'산출근거(건축)'!D14</f>
        <v>9064800</v>
      </c>
      <c r="C10" s="140" t="s">
        <v>92</v>
      </c>
    </row>
    <row r="11" spans="1:5" ht="39.950000000000003" customHeight="1">
      <c r="A11" s="139" t="str">
        <f>'산출근거(건축)'!A24</f>
        <v xml:space="preserve">   나) 국내여비</v>
      </c>
      <c r="B11" s="73">
        <f>'산출근거(건축)'!D24</f>
        <v>300000</v>
      </c>
      <c r="C11" s="140" t="s">
        <v>80</v>
      </c>
    </row>
    <row r="12" spans="1:5" ht="39.950000000000003" customHeight="1">
      <c r="A12" s="145" t="str">
        <f>'산출근거(건축)'!A29</f>
        <v xml:space="preserve"> 3. 일반관리비</v>
      </c>
      <c r="B12" s="71">
        <f>'산출근거(건축)'!D30</f>
        <v>2108066</v>
      </c>
      <c r="C12" s="147" t="s">
        <v>53</v>
      </c>
      <c r="E12" s="232"/>
    </row>
    <row r="13" spans="1:5" ht="39.950000000000003" customHeight="1">
      <c r="A13" s="145" t="str">
        <f>'산출근거(건축)'!A32</f>
        <v xml:space="preserve"> 4. 이      윤</v>
      </c>
      <c r="B13" s="71">
        <f>'산출근거(건축)'!D33</f>
        <v>2213470</v>
      </c>
      <c r="C13" s="147" t="s">
        <v>7</v>
      </c>
      <c r="E13" s="232"/>
    </row>
    <row r="14" spans="1:5" ht="39.950000000000003" customHeight="1">
      <c r="A14" s="271" t="str">
        <f>'산출근거(건축)'!A35</f>
        <v xml:space="preserve"> 5. 외부용역비 (업무위탁)</v>
      </c>
      <c r="B14" s="71">
        <f>'산출근거(건축)'!D35</f>
        <v>0</v>
      </c>
      <c r="C14" s="140"/>
      <c r="E14" s="82"/>
    </row>
    <row r="15" spans="1:5" ht="39.950000000000003" customHeight="1">
      <c r="A15" s="148" t="str">
        <f>'산출근거(건축)'!A39</f>
        <v xml:space="preserve"> 6. 공급가액</v>
      </c>
      <c r="B15" s="74">
        <f>'산출근거(건축)'!D39</f>
        <v>46482875</v>
      </c>
      <c r="C15" s="149" t="s">
        <v>56</v>
      </c>
      <c r="E15" s="82"/>
    </row>
    <row r="16" spans="1:5" ht="39.950000000000003" customHeight="1">
      <c r="A16" s="148" t="str">
        <f>'산출근거(건축)'!A41</f>
        <v xml:space="preserve"> 7. 부가가치세</v>
      </c>
      <c r="B16" s="74">
        <f>'산출근거(건축)'!D41</f>
        <v>4648287.5</v>
      </c>
      <c r="C16" s="149" t="s">
        <v>55</v>
      </c>
    </row>
    <row r="17" spans="1:5" ht="39.950000000000003" customHeight="1" thickBot="1">
      <c r="A17" s="150" t="s">
        <v>2</v>
      </c>
      <c r="B17" s="75">
        <f>'산출근거(건축)'!D43</f>
        <v>51131163</v>
      </c>
      <c r="C17" s="151" t="s">
        <v>54</v>
      </c>
      <c r="E17" s="81"/>
    </row>
    <row r="19" spans="1:5">
      <c r="B19" s="80"/>
      <c r="C19" s="80"/>
    </row>
    <row r="20" spans="1:5">
      <c r="B20" s="78"/>
      <c r="C20" s="79"/>
    </row>
    <row r="21" spans="1:5">
      <c r="B21" s="78"/>
      <c r="C21" s="78"/>
    </row>
    <row r="22" spans="1:5">
      <c r="B22" s="77"/>
      <c r="C22" s="77"/>
    </row>
  </sheetData>
  <mergeCells count="1">
    <mergeCell ref="A1:C1"/>
  </mergeCells>
  <phoneticPr fontId="8" type="noConversion"/>
  <pageMargins left="0.7" right="0.7" top="0.75" bottom="0.75" header="0.3" footer="0.3"/>
  <pageSetup paperSize="9" scale="80" fitToHeight="0" orientation="portrait" r:id="rId1"/>
  <colBreaks count="1" manualBreakCount="1">
    <brk id="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T46"/>
  <sheetViews>
    <sheetView tabSelected="1" view="pageBreakPreview" topLeftCell="A10" zoomScale="85" zoomScaleNormal="85" zoomScaleSheetLayoutView="85" workbookViewId="0">
      <selection activeCell="H12" sqref="H12"/>
    </sheetView>
  </sheetViews>
  <sheetFormatPr defaultRowHeight="16.5"/>
  <cols>
    <col min="1" max="1" width="28.125" style="92" customWidth="1"/>
    <col min="2" max="2" width="36.125" style="92" customWidth="1"/>
    <col min="3" max="3" width="13.25" style="92" customWidth="1"/>
    <col min="4" max="4" width="16.125" style="92" bestFit="1" customWidth="1"/>
    <col min="5" max="5" width="18.25" style="85" customWidth="1"/>
    <col min="6" max="6" width="15.5" style="85" bestFit="1" customWidth="1"/>
    <col min="7" max="7" width="14.625" style="85" customWidth="1"/>
    <col min="8" max="8" width="14.5" style="85" bestFit="1" customWidth="1"/>
    <col min="9" max="9" width="11.5" style="85" bestFit="1" customWidth="1"/>
    <col min="10" max="10" width="12.625" style="85" bestFit="1" customWidth="1"/>
    <col min="11" max="11" width="9.625" style="85" customWidth="1"/>
    <col min="12" max="12" width="9" style="85" customWidth="1"/>
    <col min="13" max="13" width="15.75" style="85" customWidth="1"/>
    <col min="14" max="16384" width="9" style="85"/>
  </cols>
  <sheetData>
    <row r="1" spans="1:14">
      <c r="A1" s="163"/>
      <c r="B1" s="163"/>
      <c r="C1" s="163"/>
      <c r="D1" s="163"/>
    </row>
    <row r="2" spans="1:14" ht="36" customHeight="1">
      <c r="A2" s="314" t="str">
        <f>'총괄(컨소)'!A1:C1</f>
        <v>□ 사업명: 2024 K-City Network 베트남 하남성 홍강 주변지역 스마트시티 개발계획 수립</v>
      </c>
      <c r="B2" s="314"/>
      <c r="C2" s="314"/>
      <c r="D2" s="314"/>
      <c r="F2" s="190" t="s">
        <v>29</v>
      </c>
      <c r="G2" s="190">
        <v>6</v>
      </c>
    </row>
    <row r="3" spans="1:14" ht="24.95" customHeight="1">
      <c r="A3" s="163"/>
      <c r="B3" s="163"/>
      <c r="C3" s="163"/>
      <c r="D3" s="164"/>
    </row>
    <row r="4" spans="1:14" ht="24.95" customHeight="1">
      <c r="A4" s="165" t="s">
        <v>12</v>
      </c>
      <c r="B4" s="105"/>
      <c r="C4" s="105"/>
      <c r="D4" s="166"/>
    </row>
    <row r="5" spans="1:14" ht="24.95" customHeight="1">
      <c r="A5" s="278" t="s">
        <v>73</v>
      </c>
      <c r="B5" s="279"/>
      <c r="C5" s="279"/>
      <c r="D5" s="280">
        <f>SUM(D6:D8)</f>
        <v>32796539</v>
      </c>
      <c r="G5" s="302" t="s">
        <v>30</v>
      </c>
      <c r="H5" s="303" t="s">
        <v>31</v>
      </c>
      <c r="I5" s="303" t="s">
        <v>32</v>
      </c>
      <c r="J5" s="303" t="s">
        <v>33</v>
      </c>
      <c r="K5" s="302" t="s">
        <v>34</v>
      </c>
      <c r="L5" s="302" t="s">
        <v>35</v>
      </c>
      <c r="M5" s="303" t="s">
        <v>36</v>
      </c>
    </row>
    <row r="6" spans="1:14" ht="20.100000000000001" customHeight="1">
      <c r="A6" s="281" t="s">
        <v>72</v>
      </c>
      <c r="B6" s="282" t="s">
        <v>191</v>
      </c>
      <c r="C6" s="283">
        <v>0.2</v>
      </c>
      <c r="D6" s="284">
        <f>M6</f>
        <v>12316788</v>
      </c>
      <c r="G6" s="301" t="s">
        <v>37</v>
      </c>
      <c r="H6" s="304">
        <f>노무공수!F28</f>
        <v>10263990</v>
      </c>
      <c r="I6" s="305">
        <v>1</v>
      </c>
      <c r="J6" s="301">
        <f>ROUNDDOWN(H6*I6,0)</f>
        <v>10263990</v>
      </c>
      <c r="K6" s="306">
        <v>1</v>
      </c>
      <c r="L6" s="307">
        <v>0.2</v>
      </c>
      <c r="M6" s="308">
        <f>ROUNDDOWN(K6*$G$2*$J6*L6,0)</f>
        <v>12316788</v>
      </c>
    </row>
    <row r="7" spans="1:14" ht="20.100000000000001" customHeight="1">
      <c r="A7" s="281" t="s">
        <v>71</v>
      </c>
      <c r="B7" s="282" t="s">
        <v>192</v>
      </c>
      <c r="C7" s="283">
        <v>0.3</v>
      </c>
      <c r="D7" s="284">
        <f t="shared" ref="D7:D8" si="0">M7</f>
        <v>14166523</v>
      </c>
      <c r="G7" s="301" t="s">
        <v>38</v>
      </c>
      <c r="H7" s="304">
        <f>노무공수!F29</f>
        <v>7870291</v>
      </c>
      <c r="I7" s="305">
        <v>1</v>
      </c>
      <c r="J7" s="301">
        <f>ROUNDDOWN(H7*I7,0)</f>
        <v>7870291</v>
      </c>
      <c r="K7" s="306">
        <v>1</v>
      </c>
      <c r="L7" s="307">
        <v>0.3</v>
      </c>
      <c r="M7" s="308">
        <f t="shared" ref="M7:M8" si="1">ROUNDDOWN(K7*$G$2*$J7*L7,0)</f>
        <v>14166523</v>
      </c>
    </row>
    <row r="8" spans="1:14" ht="20.100000000000001" customHeight="1">
      <c r="A8" s="281" t="s">
        <v>70</v>
      </c>
      <c r="B8" s="282" t="s">
        <v>193</v>
      </c>
      <c r="C8" s="283">
        <v>0.2</v>
      </c>
      <c r="D8" s="284">
        <f t="shared" si="0"/>
        <v>6313228</v>
      </c>
      <c r="G8" s="301" t="s">
        <v>39</v>
      </c>
      <c r="H8" s="304">
        <f>노무공수!F30</f>
        <v>5261024</v>
      </c>
      <c r="I8" s="305">
        <v>1</v>
      </c>
      <c r="J8" s="301">
        <f>ROUNDDOWN(H8*I8,0)</f>
        <v>5261024</v>
      </c>
      <c r="K8" s="306">
        <v>1</v>
      </c>
      <c r="L8" s="307">
        <v>0.2</v>
      </c>
      <c r="M8" s="308">
        <f t="shared" si="1"/>
        <v>6313228</v>
      </c>
    </row>
    <row r="9" spans="1:14" ht="20.100000000000001" customHeight="1">
      <c r="A9" s="92" t="s">
        <v>69</v>
      </c>
      <c r="B9" s="178"/>
      <c r="C9" s="178"/>
      <c r="D9" s="179"/>
    </row>
    <row r="10" spans="1:14" ht="20.100000000000001" customHeight="1">
      <c r="A10" s="92" t="s">
        <v>115</v>
      </c>
      <c r="B10" s="180"/>
      <c r="C10" s="180"/>
      <c r="D10" s="162"/>
      <c r="E10" s="190"/>
      <c r="F10" s="200"/>
      <c r="G10" s="201"/>
      <c r="H10" s="202"/>
      <c r="I10" s="203"/>
      <c r="J10" s="204"/>
      <c r="K10" s="204"/>
      <c r="L10" s="190"/>
    </row>
    <row r="11" spans="1:14" ht="20.100000000000001" customHeight="1">
      <c r="A11" s="105"/>
      <c r="B11" s="105"/>
      <c r="C11" s="105"/>
      <c r="D11" s="70"/>
      <c r="E11" s="190"/>
      <c r="F11" s="203"/>
      <c r="G11" s="205"/>
      <c r="H11" s="203"/>
      <c r="I11" s="203"/>
      <c r="J11" s="204"/>
      <c r="K11" s="204"/>
      <c r="L11" s="190"/>
    </row>
    <row r="12" spans="1:14" s="133" customFormat="1" ht="18.75" customHeight="1">
      <c r="A12" s="21" t="s">
        <v>14</v>
      </c>
      <c r="B12" s="136"/>
      <c r="C12" s="136"/>
      <c r="D12" s="25">
        <f>SUM(D14,D24)</f>
        <v>9364800</v>
      </c>
      <c r="E12" s="190"/>
      <c r="F12" s="200" t="s">
        <v>40</v>
      </c>
      <c r="G12" s="257">
        <v>1300</v>
      </c>
      <c r="H12" s="203"/>
      <c r="I12" s="203"/>
      <c r="J12" s="204"/>
      <c r="K12" s="204"/>
      <c r="L12" s="190"/>
      <c r="M12" s="190"/>
      <c r="N12" s="190"/>
    </row>
    <row r="13" spans="1:14" s="133" customFormat="1" ht="18.75" customHeight="1">
      <c r="A13" s="24"/>
      <c r="E13" s="206"/>
      <c r="F13" s="190"/>
      <c r="G13" s="190"/>
      <c r="H13" s="190"/>
      <c r="I13" s="190"/>
      <c r="J13" s="190"/>
      <c r="K13" s="190"/>
      <c r="L13" s="190"/>
      <c r="M13" s="190"/>
      <c r="N13" s="190"/>
    </row>
    <row r="14" spans="1:14" s="133" customFormat="1">
      <c r="A14" s="285" t="s">
        <v>105</v>
      </c>
      <c r="B14" s="286" t="s">
        <v>184</v>
      </c>
      <c r="C14" s="279"/>
      <c r="D14" s="280">
        <f>SUM(D15:D16)</f>
        <v>9064800</v>
      </c>
      <c r="E14" s="207"/>
      <c r="F14" s="208"/>
      <c r="G14" s="190" t="s">
        <v>41</v>
      </c>
      <c r="H14" s="190" t="s">
        <v>96</v>
      </c>
      <c r="I14" s="190" t="s">
        <v>43</v>
      </c>
      <c r="J14" s="190"/>
      <c r="K14" s="190"/>
      <c r="L14" s="190"/>
      <c r="M14" s="190"/>
      <c r="N14" s="190"/>
    </row>
    <row r="15" spans="1:14" s="133" customFormat="1" ht="18.75" customHeight="1">
      <c r="A15" s="282" t="s">
        <v>15</v>
      </c>
      <c r="B15" s="287" t="s">
        <v>185</v>
      </c>
      <c r="C15" s="287"/>
      <c r="D15" s="288">
        <f>G15*H15*I15</f>
        <v>4000000</v>
      </c>
      <c r="E15" s="190"/>
      <c r="F15" s="190" t="s">
        <v>44</v>
      </c>
      <c r="G15" s="190">
        <v>2</v>
      </c>
      <c r="H15" s="190">
        <v>2</v>
      </c>
      <c r="I15" s="209">
        <f>'세부내역(기술)'!I14</f>
        <v>1000000</v>
      </c>
      <c r="J15" s="190"/>
      <c r="K15" s="190"/>
      <c r="L15" s="190"/>
      <c r="M15" s="190"/>
      <c r="N15" s="190"/>
    </row>
    <row r="16" spans="1:14" s="133" customFormat="1" ht="18.75" customHeight="1">
      <c r="A16" s="282" t="s">
        <v>16</v>
      </c>
      <c r="B16" s="282"/>
      <c r="C16" s="282"/>
      <c r="D16" s="288">
        <f>SUM(D17:D19)</f>
        <v>5064800</v>
      </c>
      <c r="E16" s="190"/>
      <c r="F16" s="190"/>
      <c r="G16" s="190" t="s">
        <v>41</v>
      </c>
      <c r="H16" s="190" t="s">
        <v>42</v>
      </c>
      <c r="I16" s="190" t="s">
        <v>43</v>
      </c>
      <c r="J16" s="190" t="s">
        <v>45</v>
      </c>
      <c r="K16" s="190"/>
      <c r="L16" s="190"/>
      <c r="M16" s="190"/>
      <c r="N16" s="190"/>
    </row>
    <row r="17" spans="1:20" s="133" customFormat="1" ht="18.75" customHeight="1">
      <c r="A17" s="282" t="s">
        <v>17</v>
      </c>
      <c r="B17" s="282" t="s">
        <v>186</v>
      </c>
      <c r="C17" s="282"/>
      <c r="D17" s="289">
        <f>G17*H17*I17*J17*L17*H15</f>
        <v>936000</v>
      </c>
      <c r="E17" s="190"/>
      <c r="F17" s="200" t="s">
        <v>46</v>
      </c>
      <c r="G17" s="210">
        <v>2</v>
      </c>
      <c r="H17" s="200">
        <v>6</v>
      </c>
      <c r="I17" s="200">
        <v>30</v>
      </c>
      <c r="J17" s="211">
        <f>G12</f>
        <v>1300</v>
      </c>
      <c r="K17" s="200"/>
      <c r="L17" s="210">
        <v>1</v>
      </c>
      <c r="M17" s="190"/>
      <c r="N17" s="190"/>
    </row>
    <row r="18" spans="1:20" s="133" customFormat="1" ht="18.75" customHeight="1">
      <c r="A18" s="282" t="s">
        <v>18</v>
      </c>
      <c r="B18" s="282" t="s">
        <v>187</v>
      </c>
      <c r="C18" s="282"/>
      <c r="D18" s="289">
        <f>G18*H18*I18*J18*L18*H15</f>
        <v>2756000</v>
      </c>
      <c r="E18" s="190"/>
      <c r="F18" s="200" t="s">
        <v>47</v>
      </c>
      <c r="G18" s="210">
        <v>2</v>
      </c>
      <c r="H18" s="200">
        <v>5</v>
      </c>
      <c r="I18" s="200">
        <v>106</v>
      </c>
      <c r="J18" s="211">
        <f>G12</f>
        <v>1300</v>
      </c>
      <c r="K18" s="212"/>
      <c r="L18" s="210">
        <v>1</v>
      </c>
      <c r="M18" s="190"/>
      <c r="N18" s="190"/>
    </row>
    <row r="19" spans="1:20" s="133" customFormat="1" ht="18.75" customHeight="1">
      <c r="A19" s="282" t="s">
        <v>25</v>
      </c>
      <c r="B19" s="282" t="s">
        <v>188</v>
      </c>
      <c r="C19" s="282"/>
      <c r="D19" s="289">
        <f>G19*H19*I19*J19*L19*H15</f>
        <v>1372800</v>
      </c>
      <c r="E19" s="190"/>
      <c r="F19" s="200" t="s">
        <v>48</v>
      </c>
      <c r="G19" s="210">
        <v>2</v>
      </c>
      <c r="H19" s="200">
        <v>6</v>
      </c>
      <c r="I19" s="200">
        <v>44</v>
      </c>
      <c r="J19" s="211">
        <f>G12</f>
        <v>1300</v>
      </c>
      <c r="K19" s="200"/>
      <c r="L19" s="210">
        <v>1</v>
      </c>
      <c r="M19" s="190"/>
      <c r="N19" s="190"/>
    </row>
    <row r="20" spans="1:20" s="133" customFormat="1" ht="18.75" customHeight="1">
      <c r="A20" s="59" t="s">
        <v>176</v>
      </c>
      <c r="B20" s="18"/>
      <c r="C20" s="18"/>
      <c r="D20" s="19"/>
      <c r="E20" s="190"/>
      <c r="F20" s="190"/>
      <c r="G20" s="190"/>
      <c r="H20" s="190"/>
      <c r="I20" s="190"/>
      <c r="J20" s="190"/>
      <c r="K20" s="190"/>
      <c r="L20" s="190"/>
      <c r="M20" s="190"/>
      <c r="N20" s="190"/>
    </row>
    <row r="21" spans="1:20" s="133" customFormat="1" ht="18.75" customHeight="1">
      <c r="A21" s="59" t="s">
        <v>175</v>
      </c>
      <c r="B21" s="18"/>
      <c r="C21" s="18"/>
      <c r="D21" s="19"/>
      <c r="E21" s="190"/>
      <c r="F21" s="190"/>
      <c r="G21" s="190"/>
      <c r="H21" s="190"/>
      <c r="I21" s="190"/>
      <c r="J21" s="190"/>
      <c r="K21" s="190"/>
      <c r="L21" s="190"/>
      <c r="M21" s="190"/>
      <c r="N21" s="190"/>
    </row>
    <row r="22" spans="1:20" s="133" customFormat="1" ht="18.75" customHeight="1">
      <c r="A22" s="59" t="s">
        <v>194</v>
      </c>
      <c r="B22" s="18"/>
      <c r="C22" s="18"/>
      <c r="D22" s="19"/>
      <c r="E22" s="190"/>
      <c r="F22" s="190"/>
      <c r="G22" s="190"/>
      <c r="H22" s="190"/>
      <c r="I22" s="190"/>
      <c r="J22" s="190"/>
      <c r="K22" s="190"/>
      <c r="L22" s="190"/>
      <c r="M22" s="190"/>
      <c r="N22" s="190"/>
    </row>
    <row r="23" spans="1:20" ht="20.100000000000001" customHeight="1">
      <c r="A23" s="123"/>
      <c r="B23" s="180"/>
      <c r="C23" s="180"/>
      <c r="D23" s="162"/>
    </row>
    <row r="24" spans="1:20" ht="29.25" customHeight="1">
      <c r="A24" s="235" t="s">
        <v>106</v>
      </c>
      <c r="B24" s="233"/>
      <c r="C24" s="233"/>
      <c r="D24" s="234">
        <f>D26</f>
        <v>300000</v>
      </c>
    </row>
    <row r="25" spans="1:20" ht="20.100000000000001" customHeight="1">
      <c r="A25" s="181" t="s">
        <v>68</v>
      </c>
      <c r="B25" s="183"/>
      <c r="C25" s="183"/>
      <c r="D25" s="184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</row>
    <row r="26" spans="1:20" s="126" customFormat="1" ht="20.100000000000001" customHeight="1">
      <c r="A26" s="182" t="s">
        <v>67</v>
      </c>
      <c r="B26" s="108" t="s">
        <v>66</v>
      </c>
      <c r="C26" s="108"/>
      <c r="D26" s="185">
        <v>300000</v>
      </c>
      <c r="E26" s="127"/>
      <c r="F26" s="128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</row>
    <row r="27" spans="1:20" s="127" customFormat="1" ht="20.100000000000001" customHeight="1">
      <c r="A27" s="105"/>
      <c r="B27" s="105"/>
      <c r="C27" s="105"/>
      <c r="D27" s="186"/>
      <c r="F27" s="128"/>
      <c r="G27" s="128"/>
      <c r="H27" s="128"/>
      <c r="I27" s="128"/>
      <c r="J27" s="128"/>
    </row>
    <row r="28" spans="1:20" ht="20.100000000000001" customHeight="1">
      <c r="A28" s="105"/>
      <c r="B28" s="105"/>
      <c r="C28" s="105"/>
      <c r="D28" s="170"/>
      <c r="F28" s="87"/>
      <c r="G28" s="87"/>
      <c r="H28" s="87"/>
      <c r="I28" s="87"/>
      <c r="J28" s="88" t="e">
        <f>SUM(#REF!)</f>
        <v>#REF!</v>
      </c>
    </row>
    <row r="29" spans="1:20" ht="24.95" customHeight="1">
      <c r="A29" s="167" t="s">
        <v>65</v>
      </c>
      <c r="B29" s="105"/>
      <c r="C29" s="105"/>
      <c r="D29" s="70"/>
    </row>
    <row r="30" spans="1:20" ht="24.95" customHeight="1">
      <c r="A30" s="171" t="s">
        <v>64</v>
      </c>
      <c r="B30" s="169" t="s">
        <v>63</v>
      </c>
      <c r="C30" s="169"/>
      <c r="D30" s="30">
        <f>ROUNDDOWN((D5+D12)*E30,0)</f>
        <v>2108066</v>
      </c>
      <c r="E30" s="115">
        <v>0.05</v>
      </c>
    </row>
    <row r="31" spans="1:20" ht="20.100000000000001" customHeight="1">
      <c r="A31" s="105"/>
      <c r="B31" s="105"/>
      <c r="C31" s="105"/>
      <c r="D31" s="70"/>
      <c r="E31" s="115"/>
    </row>
    <row r="32" spans="1:20" ht="24.95" customHeight="1">
      <c r="A32" s="167" t="s">
        <v>62</v>
      </c>
      <c r="B32" s="105"/>
      <c r="C32" s="105"/>
      <c r="D32" s="70"/>
      <c r="E32" s="115"/>
    </row>
    <row r="33" spans="1:10" ht="24.95" customHeight="1">
      <c r="A33" s="171" t="s">
        <v>61</v>
      </c>
      <c r="B33" s="169" t="s">
        <v>60</v>
      </c>
      <c r="C33" s="169"/>
      <c r="D33" s="30">
        <f>ROUNDDOWN((D12+D5+D30)*E33,0)</f>
        <v>2213470</v>
      </c>
      <c r="E33" s="116">
        <v>0.05</v>
      </c>
    </row>
    <row r="34" spans="1:10" ht="20.100000000000001" customHeight="1">
      <c r="A34" s="105"/>
      <c r="B34" s="105"/>
      <c r="C34" s="105"/>
      <c r="D34" s="172" t="s">
        <v>28</v>
      </c>
    </row>
    <row r="35" spans="1:10" s="133" customFormat="1" ht="18.75" customHeight="1">
      <c r="A35" s="167" t="s">
        <v>154</v>
      </c>
      <c r="B35" s="105"/>
      <c r="C35" s="105"/>
      <c r="D35" s="270">
        <f>D37</f>
        <v>0</v>
      </c>
      <c r="E35" s="152"/>
    </row>
    <row r="36" spans="1:10" s="127" customFormat="1" ht="20.100000000000001" customHeight="1">
      <c r="A36" s="181" t="s">
        <v>157</v>
      </c>
      <c r="B36" s="187"/>
      <c r="C36" s="188"/>
      <c r="D36" s="189"/>
      <c r="F36" s="128"/>
      <c r="G36" s="128"/>
      <c r="H36" s="128"/>
      <c r="I36" s="128"/>
      <c r="J36" s="128"/>
    </row>
    <row r="37" spans="1:10" s="127" customFormat="1" ht="20.100000000000001" customHeight="1">
      <c r="A37" s="182"/>
      <c r="B37" s="168"/>
      <c r="C37" s="108"/>
      <c r="D37" s="185"/>
      <c r="F37" s="128"/>
      <c r="G37" s="128"/>
      <c r="H37" s="128"/>
      <c r="I37" s="128"/>
      <c r="J37" s="128"/>
    </row>
    <row r="38" spans="1:10" s="127" customFormat="1" ht="20.100000000000001" customHeight="1">
      <c r="A38" s="105"/>
      <c r="B38" s="124"/>
      <c r="C38" s="105"/>
      <c r="D38" s="186"/>
      <c r="F38" s="128"/>
      <c r="G38" s="128"/>
      <c r="H38" s="128"/>
      <c r="I38" s="128"/>
      <c r="J38" s="128"/>
    </row>
    <row r="39" spans="1:10" ht="24.95" customHeight="1">
      <c r="A39" s="167" t="s">
        <v>160</v>
      </c>
      <c r="B39" s="105" t="s">
        <v>59</v>
      </c>
      <c r="C39" s="105"/>
      <c r="D39" s="173">
        <f>D5+D12+D30+D33+D35</f>
        <v>46482875</v>
      </c>
    </row>
    <row r="40" spans="1:10" ht="20.100000000000001" customHeight="1">
      <c r="A40" s="167"/>
      <c r="B40" s="105"/>
      <c r="C40" s="105"/>
      <c r="D40" s="174"/>
    </row>
    <row r="41" spans="1:10" ht="24.95" customHeight="1">
      <c r="A41" s="167" t="s">
        <v>159</v>
      </c>
      <c r="B41" s="105" t="s">
        <v>107</v>
      </c>
      <c r="C41" s="105"/>
      <c r="D41" s="175">
        <f>D39*0.1</f>
        <v>4648287.5</v>
      </c>
    </row>
    <row r="42" spans="1:10" ht="20.100000000000001" customHeight="1">
      <c r="A42" s="105"/>
      <c r="B42" s="105"/>
      <c r="C42" s="105"/>
      <c r="D42" s="174"/>
    </row>
    <row r="43" spans="1:10" ht="24.95" customHeight="1">
      <c r="A43" s="167" t="s">
        <v>58</v>
      </c>
      <c r="B43" s="105"/>
      <c r="C43" s="105"/>
      <c r="D43" s="173">
        <f>ROUND(D39+D41,0)</f>
        <v>51131163</v>
      </c>
      <c r="E43" s="86" t="e">
        <f>'총괄(건축)'!#REF!</f>
        <v>#REF!</v>
      </c>
      <c r="F43" s="86" t="e">
        <f>D43-E43</f>
        <v>#REF!</v>
      </c>
    </row>
    <row r="45" spans="1:10" ht="18.75">
      <c r="D45" s="176"/>
    </row>
    <row r="46" spans="1:10">
      <c r="D46" s="177"/>
    </row>
  </sheetData>
  <mergeCells count="1">
    <mergeCell ref="A2:D2"/>
  </mergeCells>
  <phoneticPr fontId="10" type="noConversion"/>
  <pageMargins left="0.70866141732283472" right="0.70866141732283472" top="0.35433070866141736" bottom="0.35433070866141736" header="0.31496062992125984" footer="0.31496062992125984"/>
  <pageSetup paperSize="9" scale="78" fitToWidth="0" orientation="portrait" r:id="rId1"/>
  <colBreaks count="1" manualBreakCount="1">
    <brk id="9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O36"/>
  <sheetViews>
    <sheetView showGridLines="0" tabSelected="1" view="pageBreakPreview" zoomScaleNormal="115" zoomScaleSheetLayoutView="100" workbookViewId="0">
      <selection activeCell="H12" sqref="H12"/>
    </sheetView>
  </sheetViews>
  <sheetFormatPr defaultColWidth="10.125" defaultRowHeight="14.25"/>
  <cols>
    <col min="1" max="1" width="3.625" style="213" customWidth="1"/>
    <col min="2" max="2" width="27.125" style="213" customWidth="1"/>
    <col min="3" max="3" width="16" style="213" customWidth="1"/>
    <col min="4" max="4" width="13.375" style="214" bestFit="1" customWidth="1"/>
    <col min="5" max="5" width="16" style="214" customWidth="1"/>
    <col min="6" max="6" width="15.75" style="213" customWidth="1"/>
    <col min="7" max="7" width="18.625" style="213" customWidth="1"/>
    <col min="8" max="8" width="3.625" style="213" customWidth="1"/>
    <col min="9" max="9" width="10.125" style="213" customWidth="1"/>
    <col min="10" max="10" width="11.625" style="213" bestFit="1" customWidth="1"/>
    <col min="11" max="14" width="10.125" style="213" customWidth="1"/>
    <col min="15" max="15" width="10.125" style="229" customWidth="1"/>
    <col min="16" max="16384" width="10.125" style="213"/>
  </cols>
  <sheetData>
    <row r="2" spans="2:2">
      <c r="B2" s="215" t="s">
        <v>98</v>
      </c>
    </row>
    <row r="3" spans="2:2">
      <c r="B3" s="216" t="s">
        <v>173</v>
      </c>
    </row>
    <row r="25" spans="2:7">
      <c r="B25" s="217"/>
      <c r="C25" s="218"/>
      <c r="D25" s="219"/>
      <c r="E25" s="220"/>
      <c r="F25" s="221"/>
    </row>
    <row r="26" spans="2:7" ht="17.25" thickBot="1">
      <c r="B26" s="240" t="s">
        <v>116</v>
      </c>
      <c r="C26" s="241"/>
      <c r="D26" s="242" t="s">
        <v>99</v>
      </c>
      <c r="E26" s="242"/>
      <c r="F26" s="242"/>
      <c r="G26" s="243"/>
    </row>
    <row r="27" spans="2:7" ht="17.25" thickBot="1">
      <c r="B27" s="244" t="s">
        <v>100</v>
      </c>
      <c r="C27" s="245" t="s">
        <v>117</v>
      </c>
      <c r="D27" s="245" t="s">
        <v>118</v>
      </c>
      <c r="E27" s="245" t="s">
        <v>101</v>
      </c>
      <c r="F27" s="245" t="s">
        <v>119</v>
      </c>
      <c r="G27" s="246" t="s">
        <v>120</v>
      </c>
    </row>
    <row r="28" spans="2:7" ht="17.25" thickTop="1">
      <c r="B28" s="247" t="s">
        <v>97</v>
      </c>
      <c r="C28" s="222">
        <f>3622585*2</f>
        <v>7245170</v>
      </c>
      <c r="D28" s="248">
        <f>ROUNDDOWN(C28*4/12,2)</f>
        <v>2415056.66</v>
      </c>
      <c r="E28" s="248">
        <f>ROUNDDOWN(C28/12,2)</f>
        <v>603764.16</v>
      </c>
      <c r="F28" s="248">
        <f>ROUNDDOWN(SUM(C28:E28),0)</f>
        <v>10263990</v>
      </c>
      <c r="G28" s="249">
        <f>ROUNDDOWN(F28/22,0)</f>
        <v>466545</v>
      </c>
    </row>
    <row r="29" spans="2:7" ht="16.5">
      <c r="B29" s="247" t="s">
        <v>121</v>
      </c>
      <c r="C29" s="222">
        <f>2777750*2</f>
        <v>5555500</v>
      </c>
      <c r="D29" s="248">
        <f>ROUNDDOWN(C29*4/12,2)</f>
        <v>1851833.33</v>
      </c>
      <c r="E29" s="248">
        <f>ROUNDDOWN(C29/12,2)</f>
        <v>462958.33</v>
      </c>
      <c r="F29" s="248">
        <f>ROUNDDOWN(SUM(C29:E29),0)</f>
        <v>7870291</v>
      </c>
      <c r="G29" s="249">
        <f>ROUNDDOWN(F29/22,0)</f>
        <v>357740</v>
      </c>
    </row>
    <row r="30" spans="2:7" ht="16.5">
      <c r="B30" s="247" t="s">
        <v>122</v>
      </c>
      <c r="C30" s="222">
        <f>1856832*2</f>
        <v>3713664</v>
      </c>
      <c r="D30" s="248">
        <f>ROUNDDOWN(C30*4/12,2)</f>
        <v>1237888</v>
      </c>
      <c r="E30" s="248">
        <f>ROUNDDOWN(C30/12,2)</f>
        <v>309472</v>
      </c>
      <c r="F30" s="248">
        <f>ROUNDDOWN(SUM(C30:E30),0)</f>
        <v>5261024</v>
      </c>
      <c r="G30" s="249">
        <f>ROUNDDOWN(F30/22,0)</f>
        <v>239137</v>
      </c>
    </row>
    <row r="31" spans="2:7" ht="17.25" thickBot="1">
      <c r="B31" s="250" t="s">
        <v>123</v>
      </c>
      <c r="C31" s="223">
        <f>1392671*2</f>
        <v>2785342</v>
      </c>
      <c r="D31" s="251">
        <f>ROUNDDOWN(C31*4/12,2)</f>
        <v>928447.33</v>
      </c>
      <c r="E31" s="251">
        <f>ROUNDDOWN(C31/12,2)</f>
        <v>232111.83</v>
      </c>
      <c r="F31" s="252">
        <f>ROUNDDOWN(SUM(C31:E31),0)</f>
        <v>3945901</v>
      </c>
      <c r="G31" s="253">
        <f>ROUNDDOWN(F31/22,0)</f>
        <v>179359</v>
      </c>
    </row>
    <row r="32" spans="2:7">
      <c r="B32" s="217"/>
      <c r="C32" s="218"/>
      <c r="D32" s="219"/>
      <c r="E32" s="220"/>
      <c r="F32" s="221"/>
    </row>
    <row r="33" spans="2:6">
      <c r="B33" s="217"/>
      <c r="C33" s="218"/>
      <c r="D33" s="219"/>
      <c r="E33" s="220"/>
      <c r="F33" s="221"/>
    </row>
    <row r="34" spans="2:6">
      <c r="B34" s="217"/>
      <c r="C34" s="218"/>
      <c r="D34" s="219"/>
      <c r="E34" s="220"/>
      <c r="F34" s="221"/>
    </row>
    <row r="35" spans="2:6">
      <c r="C35" s="224"/>
      <c r="D35" s="225"/>
      <c r="E35" s="225"/>
      <c r="F35" s="221"/>
    </row>
    <row r="36" spans="2:6">
      <c r="C36" s="226"/>
      <c r="D36" s="227"/>
      <c r="E36" s="227"/>
      <c r="F36" s="228"/>
    </row>
  </sheetData>
  <phoneticPr fontId="8" type="noConversion"/>
  <printOptions horizontalCentered="1" gridLinesSet="0"/>
  <pageMargins left="0" right="0" top="0.70866141732283472" bottom="0.19685039370078741" header="0" footer="0"/>
  <pageSetup paperSize="9" scale="6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9" zoomScale="70" zoomScaleNormal="70" workbookViewId="0">
      <selection activeCell="H12" sqref="H12"/>
    </sheetView>
  </sheetViews>
  <sheetFormatPr defaultRowHeight="16.5"/>
  <sheetData/>
  <phoneticPr fontId="8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9</vt:i4>
      </vt:variant>
    </vt:vector>
  </HeadingPairs>
  <TitlesOfParts>
    <vt:vector size="16" baseType="lpstr">
      <vt:lpstr>총괄(컨소)</vt:lpstr>
      <vt:lpstr>총괄(기술분야)</vt:lpstr>
      <vt:lpstr>세부내역(기술)</vt:lpstr>
      <vt:lpstr>총괄(건축)</vt:lpstr>
      <vt:lpstr>산출근거(건축)</vt:lpstr>
      <vt:lpstr>노무공수</vt:lpstr>
      <vt:lpstr>공무원 여비규정 국외여비</vt:lpstr>
      <vt:lpstr>노무공수!Print_Area</vt:lpstr>
      <vt:lpstr>'산출근거(건축)'!Print_Area</vt:lpstr>
      <vt:lpstr>'세부내역(기술)'!Print_Area</vt:lpstr>
      <vt:lpstr>'총괄(건축)'!Print_Area</vt:lpstr>
      <vt:lpstr>'총괄(기술분야)'!Print_Area</vt:lpstr>
      <vt:lpstr>'총괄(컨소)'!Print_Area</vt:lpstr>
      <vt:lpstr>'산출근거(건축)'!Print_Titles</vt:lpstr>
      <vt:lpstr>'세부내역(기술)'!Print_Titles</vt:lpstr>
      <vt:lpstr>노무공수!노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Kyehee Haam</dc:creator>
  <cp:lastModifiedBy>KIND</cp:lastModifiedBy>
  <cp:lastPrinted>2024-07-26T06:57:01Z</cp:lastPrinted>
  <dcterms:created xsi:type="dcterms:W3CDTF">2019-02-18T04:20:14Z</dcterms:created>
  <dcterms:modified xsi:type="dcterms:W3CDTF">2024-07-26T07:00:00Z</dcterms:modified>
</cp:coreProperties>
</file>